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5" tabRatio="546"/>
  </bookViews>
  <sheets>
    <sheet name="Cumplimiento" sheetId="1" r:id="rId1"/>
    <sheet name="Consumo" sheetId="6" state="hidden" r:id="rId2"/>
    <sheet name="ZonaClimatica" sheetId="3" state="hidden" r:id="rId3"/>
    <sheet name="Calif_ZC" sheetId="9" state="hidden" r:id="rId4"/>
    <sheet name="Hipotesis" sheetId="8" state="hidden" r:id="rId5"/>
    <sheet name="Tab_36_37" sheetId="7" state="hidden" r:id="rId6"/>
    <sheet name="CE3" sheetId="5" state="hidden" r:id="rId7"/>
    <sheet name="Municipio" sheetId="4" state="hidden" r:id="rId8"/>
  </sheets>
  <definedNames>
    <definedName name="_xlnm._FilterDatabase" localSheetId="0" hidden="1">Cumplimiento!$I$14:$K$15</definedName>
    <definedName name="_xlnm._FilterDatabase" localSheetId="7" hidden="1">Municipio!$A$1:$AC$774</definedName>
    <definedName name="Aislante">Municipio!$V$4:$V$17</definedName>
    <definedName name="AislanteReflexivo">Municipio!$V$2:$V$3</definedName>
    <definedName name="_xlnm.Print_Area" localSheetId="0">Cumplimiento!$B$1:$O$21</definedName>
    <definedName name="carpinteria">Municipio!$AB$2:$AB$8</definedName>
    <definedName name="Categoria">Municipio!$Y$2:$Y$10</definedName>
    <definedName name="Epidermis">Municipio!$X$2:$X$4</definedName>
    <definedName name="Municipio">Municipio!$L$2:$L$172</definedName>
    <definedName name="Periodo">Municipio!$U$2:$U$8</definedName>
    <definedName name="Tipo">Municipio!$T$2:$T$5</definedName>
  </definedNames>
  <calcPr calcId="152511"/>
</workbook>
</file>

<file path=xl/calcChain.xml><?xml version="1.0" encoding="utf-8"?>
<calcChain xmlns="http://schemas.openxmlformats.org/spreadsheetml/2006/main">
  <c r="E21" i="1" l="1"/>
  <c r="E20" i="1"/>
  <c r="K17" i="1" l="1"/>
  <c r="K15" i="1"/>
  <c r="F12" i="6" l="1"/>
  <c r="D13" i="6"/>
  <c r="I4" i="6"/>
  <c r="F11" i="6"/>
  <c r="B12" i="6"/>
  <c r="B11" i="6"/>
  <c r="G17" i="6" l="1"/>
  <c r="G14" i="1"/>
  <c r="N14" i="1"/>
  <c r="O18" i="1" l="1"/>
  <c r="I17" i="1"/>
  <c r="J18" i="1"/>
  <c r="H5" i="6" s="1"/>
  <c r="B15" i="1"/>
  <c r="E14" i="1"/>
  <c r="M5" i="1" l="1"/>
  <c r="J4" i="1"/>
  <c r="C3" i="6" l="1"/>
  <c r="I2" i="6"/>
  <c r="C4" i="6"/>
  <c r="C5" i="6"/>
  <c r="A12" i="1" l="1"/>
  <c r="A11" i="1"/>
  <c r="A10" i="1"/>
  <c r="A9" i="1"/>
  <c r="A8" i="1"/>
  <c r="W5" i="4" l="1"/>
  <c r="W16" i="4"/>
  <c r="W9" i="4"/>
  <c r="W8" i="4"/>
  <c r="W10" i="4"/>
  <c r="W4" i="4"/>
  <c r="C17" i="1" s="1"/>
  <c r="D18" i="1" s="1"/>
  <c r="E18" i="1" s="1"/>
  <c r="W14" i="4"/>
  <c r="W7" i="4"/>
  <c r="W13" i="4"/>
  <c r="W15" i="4"/>
  <c r="W12" i="4"/>
  <c r="E19" i="1" l="1"/>
  <c r="J5" i="6"/>
  <c r="AL1" i="5"/>
  <c r="Z1" i="5"/>
  <c r="N1" i="5"/>
  <c r="B1" i="5"/>
  <c r="N2" i="4" l="1"/>
  <c r="Q2" i="4" s="1"/>
  <c r="P3" i="4" s="1"/>
  <c r="N3" i="4"/>
  <c r="N4" i="4"/>
  <c r="N5" i="4"/>
  <c r="N6" i="4"/>
  <c r="N7" i="4"/>
  <c r="N8" i="4"/>
  <c r="N9" i="4"/>
  <c r="O1" i="4"/>
  <c r="C13" i="3"/>
  <c r="Q3" i="4" l="1"/>
  <c r="O2" i="4"/>
  <c r="L3" i="4"/>
  <c r="L7" i="4"/>
  <c r="L11" i="4"/>
  <c r="L15" i="4"/>
  <c r="L19" i="4"/>
  <c r="L23" i="4"/>
  <c r="L27" i="4"/>
  <c r="L31" i="4"/>
  <c r="L35" i="4"/>
  <c r="L39" i="4"/>
  <c r="L43" i="4"/>
  <c r="L47" i="4"/>
  <c r="L51" i="4"/>
  <c r="L55" i="4"/>
  <c r="L59" i="4"/>
  <c r="L63" i="4"/>
  <c r="L67" i="4"/>
  <c r="L71" i="4"/>
  <c r="L75" i="4"/>
  <c r="L79" i="4"/>
  <c r="L83" i="4"/>
  <c r="L87" i="4"/>
  <c r="L91" i="4"/>
  <c r="L95" i="4"/>
  <c r="L99" i="4"/>
  <c r="L103" i="4"/>
  <c r="L107" i="4"/>
  <c r="L111" i="4"/>
  <c r="L115" i="4"/>
  <c r="L119" i="4"/>
  <c r="L123" i="4"/>
  <c r="L127" i="4"/>
  <c r="L131" i="4"/>
  <c r="L135" i="4"/>
  <c r="L139" i="4"/>
  <c r="L143" i="4"/>
  <c r="L147" i="4"/>
  <c r="L151" i="4"/>
  <c r="L155" i="4"/>
  <c r="L159" i="4"/>
  <c r="L163" i="4"/>
  <c r="L167" i="4"/>
  <c r="L171" i="4"/>
  <c r="L4" i="4"/>
  <c r="L8" i="4"/>
  <c r="L12" i="4"/>
  <c r="L16" i="4"/>
  <c r="L20" i="4"/>
  <c r="L24" i="4"/>
  <c r="L28" i="4"/>
  <c r="L32" i="4"/>
  <c r="L36" i="4"/>
  <c r="L40" i="4"/>
  <c r="L44" i="4"/>
  <c r="L48" i="4"/>
  <c r="L52" i="4"/>
  <c r="L56" i="4"/>
  <c r="L60" i="4"/>
  <c r="L64" i="4"/>
  <c r="L68" i="4"/>
  <c r="L72" i="4"/>
  <c r="L76" i="4"/>
  <c r="L80" i="4"/>
  <c r="L84" i="4"/>
  <c r="L88" i="4"/>
  <c r="L92" i="4"/>
  <c r="L96" i="4"/>
  <c r="L100" i="4"/>
  <c r="L104" i="4"/>
  <c r="L108" i="4"/>
  <c r="L112" i="4"/>
  <c r="L116" i="4"/>
  <c r="L120" i="4"/>
  <c r="L124" i="4"/>
  <c r="L128" i="4"/>
  <c r="L132" i="4"/>
  <c r="L136" i="4"/>
  <c r="L140" i="4"/>
  <c r="L144" i="4"/>
  <c r="L148" i="4"/>
  <c r="L152" i="4"/>
  <c r="L156" i="4"/>
  <c r="L160" i="4"/>
  <c r="L164" i="4"/>
  <c r="L168" i="4"/>
  <c r="L172" i="4"/>
  <c r="L157" i="4"/>
  <c r="L149" i="4"/>
  <c r="L141" i="4"/>
  <c r="L133" i="4"/>
  <c r="L125" i="4"/>
  <c r="L117" i="4"/>
  <c r="L109" i="4"/>
  <c r="L101" i="4"/>
  <c r="L93" i="4"/>
  <c r="L85" i="4"/>
  <c r="L77" i="4"/>
  <c r="L69" i="4"/>
  <c r="L61" i="4"/>
  <c r="L45" i="4"/>
  <c r="L37" i="4"/>
  <c r="L29" i="4"/>
  <c r="L21" i="4"/>
  <c r="L13" i="4"/>
  <c r="L5" i="4"/>
  <c r="L170" i="4"/>
  <c r="L162" i="4"/>
  <c r="L154" i="4"/>
  <c r="L146" i="4"/>
  <c r="L138" i="4"/>
  <c r="L130" i="4"/>
  <c r="L122" i="4"/>
  <c r="L114" i="4"/>
  <c r="L106" i="4"/>
  <c r="L98" i="4"/>
  <c r="L90" i="4"/>
  <c r="L82" i="4"/>
  <c r="L74" i="4"/>
  <c r="L66" i="4"/>
  <c r="L58" i="4"/>
  <c r="L50" i="4"/>
  <c r="L42" i="4"/>
  <c r="L34" i="4"/>
  <c r="L26" i="4"/>
  <c r="L18" i="4"/>
  <c r="L10" i="4"/>
  <c r="L150" i="4"/>
  <c r="L169" i="4"/>
  <c r="L161" i="4"/>
  <c r="L153" i="4"/>
  <c r="L145" i="4"/>
  <c r="L137" i="4"/>
  <c r="L129" i="4"/>
  <c r="L121" i="4"/>
  <c r="L113" i="4"/>
  <c r="L105" i="4"/>
  <c r="L97" i="4"/>
  <c r="L89" i="4"/>
  <c r="L81" i="4"/>
  <c r="L73" i="4"/>
  <c r="L65" i="4"/>
  <c r="L57" i="4"/>
  <c r="L49" i="4"/>
  <c r="L41" i="4"/>
  <c r="L33" i="4"/>
  <c r="L25" i="4"/>
  <c r="L17" i="4"/>
  <c r="L9" i="4"/>
  <c r="L126" i="4"/>
  <c r="L14" i="4"/>
  <c r="L2" i="4"/>
  <c r="C5" i="1" s="1"/>
  <c r="L166" i="4"/>
  <c r="L158" i="4"/>
  <c r="L142" i="4"/>
  <c r="L134" i="4"/>
  <c r="L118" i="4"/>
  <c r="L110" i="4"/>
  <c r="L102" i="4"/>
  <c r="L94" i="4"/>
  <c r="L86" i="4"/>
  <c r="L78" i="4"/>
  <c r="L70" i="4"/>
  <c r="L62" i="4"/>
  <c r="L54" i="4"/>
  <c r="L46" i="4"/>
  <c r="L38" i="4"/>
  <c r="L30" i="4"/>
  <c r="L22" i="4"/>
  <c r="L6" i="4"/>
  <c r="L165" i="4"/>
  <c r="L53" i="4"/>
  <c r="P4" i="4"/>
  <c r="Q4" i="4" s="1"/>
  <c r="O756" i="4"/>
  <c r="O734" i="4"/>
  <c r="O706" i="4"/>
  <c r="O664" i="4"/>
  <c r="O622" i="4"/>
  <c r="O579" i="4"/>
  <c r="O536" i="4"/>
  <c r="O494" i="4"/>
  <c r="O439" i="4"/>
  <c r="O359" i="4"/>
  <c r="O194" i="4"/>
  <c r="O762" i="4"/>
  <c r="O740" i="4"/>
  <c r="O712" i="4"/>
  <c r="O675" i="4"/>
  <c r="O632" i="4"/>
  <c r="O590" i="4"/>
  <c r="O547" i="4"/>
  <c r="O504" i="4"/>
  <c r="O455" i="4"/>
  <c r="O391" i="4"/>
  <c r="O237" i="4"/>
  <c r="O772" i="4"/>
  <c r="O751" i="4"/>
  <c r="O727" i="4"/>
  <c r="O696" i="4"/>
  <c r="O654" i="4"/>
  <c r="O611" i="4"/>
  <c r="O568" i="4"/>
  <c r="O526" i="4"/>
  <c r="O483" i="4"/>
  <c r="O423" i="4"/>
  <c r="O322" i="4"/>
  <c r="O767" i="4"/>
  <c r="O746" i="4"/>
  <c r="O719" i="4"/>
  <c r="O686" i="4"/>
  <c r="O643" i="4"/>
  <c r="O600" i="4"/>
  <c r="O558" i="4"/>
  <c r="O515" i="4"/>
  <c r="O471" i="4"/>
  <c r="O407" i="4"/>
  <c r="O279" i="4"/>
  <c r="O175" i="4"/>
  <c r="O179" i="4"/>
  <c r="O183" i="4"/>
  <c r="O187" i="4"/>
  <c r="O191" i="4"/>
  <c r="O176" i="4"/>
  <c r="O180" i="4"/>
  <c r="O184" i="4"/>
  <c r="O188" i="4"/>
  <c r="O192" i="4"/>
  <c r="O196" i="4"/>
  <c r="O200" i="4"/>
  <c r="O204" i="4"/>
  <c r="O208" i="4"/>
  <c r="O212" i="4"/>
  <c r="O216" i="4"/>
  <c r="O220" i="4"/>
  <c r="O224" i="4"/>
  <c r="O228" i="4"/>
  <c r="O232" i="4"/>
  <c r="O236" i="4"/>
  <c r="O240" i="4"/>
  <c r="O244" i="4"/>
  <c r="O248" i="4"/>
  <c r="O252" i="4"/>
  <c r="O256" i="4"/>
  <c r="O260" i="4"/>
  <c r="O264" i="4"/>
  <c r="O268" i="4"/>
  <c r="O272" i="4"/>
  <c r="O276" i="4"/>
  <c r="O280" i="4"/>
  <c r="O284" i="4"/>
  <c r="O288" i="4"/>
  <c r="O292" i="4"/>
  <c r="O296" i="4"/>
  <c r="O300" i="4"/>
  <c r="O304" i="4"/>
  <c r="O308" i="4"/>
  <c r="O312" i="4"/>
  <c r="O316" i="4"/>
  <c r="O320" i="4"/>
  <c r="O324" i="4"/>
  <c r="O328" i="4"/>
  <c r="O332" i="4"/>
  <c r="O336" i="4"/>
  <c r="O340" i="4"/>
  <c r="O173" i="4"/>
  <c r="O181" i="4"/>
  <c r="O189" i="4"/>
  <c r="O195" i="4"/>
  <c r="O201" i="4"/>
  <c r="O206" i="4"/>
  <c r="O211" i="4"/>
  <c r="O217" i="4"/>
  <c r="O222" i="4"/>
  <c r="O227" i="4"/>
  <c r="O233" i="4"/>
  <c r="O238" i="4"/>
  <c r="O243" i="4"/>
  <c r="O249" i="4"/>
  <c r="O254" i="4"/>
  <c r="O259" i="4"/>
  <c r="O265" i="4"/>
  <c r="O270" i="4"/>
  <c r="O275" i="4"/>
  <c r="O281" i="4"/>
  <c r="O286" i="4"/>
  <c r="O291" i="4"/>
  <c r="O297" i="4"/>
  <c r="O302" i="4"/>
  <c r="O307" i="4"/>
  <c r="O313" i="4"/>
  <c r="O318" i="4"/>
  <c r="O323" i="4"/>
  <c r="O329" i="4"/>
  <c r="O334" i="4"/>
  <c r="O339" i="4"/>
  <c r="O344" i="4"/>
  <c r="O348" i="4"/>
  <c r="O352" i="4"/>
  <c r="O356" i="4"/>
  <c r="O360" i="4"/>
  <c r="O364" i="4"/>
  <c r="O368" i="4"/>
  <c r="O372" i="4"/>
  <c r="O376" i="4"/>
  <c r="O380" i="4"/>
  <c r="O384" i="4"/>
  <c r="O388" i="4"/>
  <c r="O392" i="4"/>
  <c r="O396" i="4"/>
  <c r="O400" i="4"/>
  <c r="O404" i="4"/>
  <c r="O408" i="4"/>
  <c r="O412" i="4"/>
  <c r="O416" i="4"/>
  <c r="O420" i="4"/>
  <c r="O424" i="4"/>
  <c r="O428" i="4"/>
  <c r="O432" i="4"/>
  <c r="O436" i="4"/>
  <c r="O440" i="4"/>
  <c r="O444" i="4"/>
  <c r="O448" i="4"/>
  <c r="O452" i="4"/>
  <c r="O456" i="4"/>
  <c r="O460" i="4"/>
  <c r="O464" i="4"/>
  <c r="O468" i="4"/>
  <c r="O472" i="4"/>
  <c r="O174" i="4"/>
  <c r="O182" i="4"/>
  <c r="O190" i="4"/>
  <c r="O197" i="4"/>
  <c r="O202" i="4"/>
  <c r="O207" i="4"/>
  <c r="O213" i="4"/>
  <c r="O218" i="4"/>
  <c r="O223" i="4"/>
  <c r="O229" i="4"/>
  <c r="O234" i="4"/>
  <c r="O239" i="4"/>
  <c r="O245" i="4"/>
  <c r="O250" i="4"/>
  <c r="O255" i="4"/>
  <c r="O261" i="4"/>
  <c r="O266" i="4"/>
  <c r="O271" i="4"/>
  <c r="O277" i="4"/>
  <c r="O282" i="4"/>
  <c r="O287" i="4"/>
  <c r="O293" i="4"/>
  <c r="O298" i="4"/>
  <c r="O303" i="4"/>
  <c r="O309" i="4"/>
  <c r="O314" i="4"/>
  <c r="O319" i="4"/>
  <c r="O325" i="4"/>
  <c r="O330" i="4"/>
  <c r="O335" i="4"/>
  <c r="O341" i="4"/>
  <c r="O345" i="4"/>
  <c r="O349" i="4"/>
  <c r="O353" i="4"/>
  <c r="O357" i="4"/>
  <c r="O361" i="4"/>
  <c r="O365" i="4"/>
  <c r="O369" i="4"/>
  <c r="O373" i="4"/>
  <c r="O377" i="4"/>
  <c r="O381" i="4"/>
  <c r="O385" i="4"/>
  <c r="O389" i="4"/>
  <c r="O393" i="4"/>
  <c r="O397" i="4"/>
  <c r="O401" i="4"/>
  <c r="O405" i="4"/>
  <c r="O409" i="4"/>
  <c r="O413" i="4"/>
  <c r="O417" i="4"/>
  <c r="O421" i="4"/>
  <c r="O425" i="4"/>
  <c r="O429" i="4"/>
  <c r="O433" i="4"/>
  <c r="O437" i="4"/>
  <c r="O441" i="4"/>
  <c r="O445" i="4"/>
  <c r="O449" i="4"/>
  <c r="O453" i="4"/>
  <c r="O457" i="4"/>
  <c r="O461" i="4"/>
  <c r="O465" i="4"/>
  <c r="O469" i="4"/>
  <c r="O473" i="4"/>
  <c r="O477" i="4"/>
  <c r="O481" i="4"/>
  <c r="O485" i="4"/>
  <c r="O489" i="4"/>
  <c r="O493" i="4"/>
  <c r="O497" i="4"/>
  <c r="O501" i="4"/>
  <c r="O505" i="4"/>
  <c r="O509" i="4"/>
  <c r="O513" i="4"/>
  <c r="O517" i="4"/>
  <c r="O521" i="4"/>
  <c r="O525" i="4"/>
  <c r="O529" i="4"/>
  <c r="O533" i="4"/>
  <c r="O537" i="4"/>
  <c r="O541" i="4"/>
  <c r="O545" i="4"/>
  <c r="O549" i="4"/>
  <c r="O553" i="4"/>
  <c r="O557" i="4"/>
  <c r="O561" i="4"/>
  <c r="O565" i="4"/>
  <c r="O569" i="4"/>
  <c r="O573" i="4"/>
  <c r="O577" i="4"/>
  <c r="O581" i="4"/>
  <c r="O585" i="4"/>
  <c r="O589" i="4"/>
  <c r="O593" i="4"/>
  <c r="O597" i="4"/>
  <c r="O601" i="4"/>
  <c r="O605" i="4"/>
  <c r="O609" i="4"/>
  <c r="O613" i="4"/>
  <c r="O617" i="4"/>
  <c r="O621" i="4"/>
  <c r="O625" i="4"/>
  <c r="O629" i="4"/>
  <c r="O633" i="4"/>
  <c r="O637" i="4"/>
  <c r="O641" i="4"/>
  <c r="O645" i="4"/>
  <c r="O649" i="4"/>
  <c r="O653" i="4"/>
  <c r="O657" i="4"/>
  <c r="O661" i="4"/>
  <c r="O665" i="4"/>
  <c r="O669" i="4"/>
  <c r="O673" i="4"/>
  <c r="O677" i="4"/>
  <c r="O681" i="4"/>
  <c r="O685" i="4"/>
  <c r="O689" i="4"/>
  <c r="O693" i="4"/>
  <c r="O697" i="4"/>
  <c r="O701" i="4"/>
  <c r="O705" i="4"/>
  <c r="O709" i="4"/>
  <c r="O713" i="4"/>
  <c r="O717" i="4"/>
  <c r="O721" i="4"/>
  <c r="O725" i="4"/>
  <c r="O729" i="4"/>
  <c r="O733" i="4"/>
  <c r="O737" i="4"/>
  <c r="O741" i="4"/>
  <c r="O745" i="4"/>
  <c r="O749" i="4"/>
  <c r="O753" i="4"/>
  <c r="O757" i="4"/>
  <c r="O761" i="4"/>
  <c r="O765" i="4"/>
  <c r="O769" i="4"/>
  <c r="O773" i="4"/>
  <c r="O185" i="4"/>
  <c r="O198" i="4"/>
  <c r="O209" i="4"/>
  <c r="O219" i="4"/>
  <c r="O230" i="4"/>
  <c r="O241" i="4"/>
  <c r="O251" i="4"/>
  <c r="O262" i="4"/>
  <c r="O273" i="4"/>
  <c r="O283" i="4"/>
  <c r="O294" i="4"/>
  <c r="O305" i="4"/>
  <c r="O315" i="4"/>
  <c r="O326" i="4"/>
  <c r="O337" i="4"/>
  <c r="O346" i="4"/>
  <c r="O354" i="4"/>
  <c r="O362" i="4"/>
  <c r="O370" i="4"/>
  <c r="O378" i="4"/>
  <c r="O386" i="4"/>
  <c r="O186" i="4"/>
  <c r="O199" i="4"/>
  <c r="O210" i="4"/>
  <c r="O221" i="4"/>
  <c r="O231" i="4"/>
  <c r="O242" i="4"/>
  <c r="O253" i="4"/>
  <c r="O263" i="4"/>
  <c r="O274" i="4"/>
  <c r="O285" i="4"/>
  <c r="O295" i="4"/>
  <c r="O306" i="4"/>
  <c r="O317" i="4"/>
  <c r="O327" i="4"/>
  <c r="O338" i="4"/>
  <c r="O347" i="4"/>
  <c r="O355" i="4"/>
  <c r="O363" i="4"/>
  <c r="O371" i="4"/>
  <c r="O379" i="4"/>
  <c r="O387" i="4"/>
  <c r="O395" i="4"/>
  <c r="O403" i="4"/>
  <c r="O411" i="4"/>
  <c r="O419" i="4"/>
  <c r="O427" i="4"/>
  <c r="O435" i="4"/>
  <c r="O443" i="4"/>
  <c r="O451" i="4"/>
  <c r="O459" i="4"/>
  <c r="O467" i="4"/>
  <c r="O475" i="4"/>
  <c r="O480" i="4"/>
  <c r="O486" i="4"/>
  <c r="O491" i="4"/>
  <c r="O496" i="4"/>
  <c r="O502" i="4"/>
  <c r="O507" i="4"/>
  <c r="O512" i="4"/>
  <c r="O518" i="4"/>
  <c r="O523" i="4"/>
  <c r="O528" i="4"/>
  <c r="O534" i="4"/>
  <c r="O539" i="4"/>
  <c r="O544" i="4"/>
  <c r="O550" i="4"/>
  <c r="O555" i="4"/>
  <c r="O560" i="4"/>
  <c r="O566" i="4"/>
  <c r="O571" i="4"/>
  <c r="O576" i="4"/>
  <c r="O582" i="4"/>
  <c r="O587" i="4"/>
  <c r="O592" i="4"/>
  <c r="O598" i="4"/>
  <c r="O603" i="4"/>
  <c r="O608" i="4"/>
  <c r="O614" i="4"/>
  <c r="O619" i="4"/>
  <c r="O624" i="4"/>
  <c r="O630" i="4"/>
  <c r="O635" i="4"/>
  <c r="O640" i="4"/>
  <c r="O646" i="4"/>
  <c r="O651" i="4"/>
  <c r="O656" i="4"/>
  <c r="O662" i="4"/>
  <c r="O667" i="4"/>
  <c r="O672" i="4"/>
  <c r="O678" i="4"/>
  <c r="O683" i="4"/>
  <c r="O688" i="4"/>
  <c r="O694" i="4"/>
  <c r="O699" i="4"/>
  <c r="O704" i="4"/>
  <c r="O710" i="4"/>
  <c r="O715" i="4"/>
  <c r="O720" i="4"/>
  <c r="O726" i="4"/>
  <c r="O731" i="4"/>
  <c r="O736" i="4"/>
  <c r="O177" i="4"/>
  <c r="O193" i="4"/>
  <c r="O203" i="4"/>
  <c r="O214" i="4"/>
  <c r="O225" i="4"/>
  <c r="O235" i="4"/>
  <c r="O246" i="4"/>
  <c r="O257" i="4"/>
  <c r="O267" i="4"/>
  <c r="O278" i="4"/>
  <c r="O289" i="4"/>
  <c r="O299" i="4"/>
  <c r="O310" i="4"/>
  <c r="O321" i="4"/>
  <c r="O331" i="4"/>
  <c r="O342" i="4"/>
  <c r="O350" i="4"/>
  <c r="O358" i="4"/>
  <c r="O366" i="4"/>
  <c r="O374" i="4"/>
  <c r="O382" i="4"/>
  <c r="O390" i="4"/>
  <c r="O398" i="4"/>
  <c r="O406" i="4"/>
  <c r="O414" i="4"/>
  <c r="O422" i="4"/>
  <c r="O430" i="4"/>
  <c r="O438" i="4"/>
  <c r="O446" i="4"/>
  <c r="O454" i="4"/>
  <c r="O462" i="4"/>
  <c r="O470" i="4"/>
  <c r="O476" i="4"/>
  <c r="O482" i="4"/>
  <c r="O487" i="4"/>
  <c r="O492" i="4"/>
  <c r="O498" i="4"/>
  <c r="O503" i="4"/>
  <c r="O508" i="4"/>
  <c r="O514" i="4"/>
  <c r="O519" i="4"/>
  <c r="O524" i="4"/>
  <c r="O530" i="4"/>
  <c r="O535" i="4"/>
  <c r="O540" i="4"/>
  <c r="O546" i="4"/>
  <c r="O551" i="4"/>
  <c r="O556" i="4"/>
  <c r="O562" i="4"/>
  <c r="O567" i="4"/>
  <c r="O572" i="4"/>
  <c r="O578" i="4"/>
  <c r="O583" i="4"/>
  <c r="O588" i="4"/>
  <c r="O594" i="4"/>
  <c r="O599" i="4"/>
  <c r="O604" i="4"/>
  <c r="O610" i="4"/>
  <c r="O615" i="4"/>
  <c r="O620" i="4"/>
  <c r="O626" i="4"/>
  <c r="O631" i="4"/>
  <c r="O636" i="4"/>
  <c r="O642" i="4"/>
  <c r="O647" i="4"/>
  <c r="O652" i="4"/>
  <c r="O658" i="4"/>
  <c r="O663" i="4"/>
  <c r="O668" i="4"/>
  <c r="O674" i="4"/>
  <c r="O679" i="4"/>
  <c r="O684" i="4"/>
  <c r="O690" i="4"/>
  <c r="O695" i="4"/>
  <c r="O700" i="4"/>
  <c r="O771" i="4"/>
  <c r="O766" i="4"/>
  <c r="O760" i="4"/>
  <c r="O755" i="4"/>
  <c r="O750" i="4"/>
  <c r="O744" i="4"/>
  <c r="O739" i="4"/>
  <c r="O732" i="4"/>
  <c r="O724" i="4"/>
  <c r="O718" i="4"/>
  <c r="O711" i="4"/>
  <c r="O703" i="4"/>
  <c r="O692" i="4"/>
  <c r="O682" i="4"/>
  <c r="O671" i="4"/>
  <c r="O660" i="4"/>
  <c r="O650" i="4"/>
  <c r="O639" i="4"/>
  <c r="O628" i="4"/>
  <c r="O618" i="4"/>
  <c r="O607" i="4"/>
  <c r="O596" i="4"/>
  <c r="O586" i="4"/>
  <c r="O575" i="4"/>
  <c r="O564" i="4"/>
  <c r="O554" i="4"/>
  <c r="O543" i="4"/>
  <c r="O532" i="4"/>
  <c r="O522" i="4"/>
  <c r="O511" i="4"/>
  <c r="O500" i="4"/>
  <c r="O490" i="4"/>
  <c r="O479" i="4"/>
  <c r="O466" i="4"/>
  <c r="O450" i="4"/>
  <c r="O434" i="4"/>
  <c r="O418" i="4"/>
  <c r="O402" i="4"/>
  <c r="O383" i="4"/>
  <c r="O351" i="4"/>
  <c r="O311" i="4"/>
  <c r="O269" i="4"/>
  <c r="O226" i="4"/>
  <c r="O178" i="4"/>
  <c r="O770" i="4"/>
  <c r="O764" i="4"/>
  <c r="O759" i="4"/>
  <c r="O754" i="4"/>
  <c r="O748" i="4"/>
  <c r="O743" i="4"/>
  <c r="O738" i="4"/>
  <c r="O730" i="4"/>
  <c r="O723" i="4"/>
  <c r="O716" i="4"/>
  <c r="O708" i="4"/>
  <c r="O702" i="4"/>
  <c r="O691" i="4"/>
  <c r="O680" i="4"/>
  <c r="O670" i="4"/>
  <c r="O659" i="4"/>
  <c r="O648" i="4"/>
  <c r="O638" i="4"/>
  <c r="O627" i="4"/>
  <c r="O616" i="4"/>
  <c r="O606" i="4"/>
  <c r="O595" i="4"/>
  <c r="O584" i="4"/>
  <c r="O574" i="4"/>
  <c r="O563" i="4"/>
  <c r="O552" i="4"/>
  <c r="O542" i="4"/>
  <c r="O531" i="4"/>
  <c r="O520" i="4"/>
  <c r="O510" i="4"/>
  <c r="O499" i="4"/>
  <c r="O488" i="4"/>
  <c r="O478" i="4"/>
  <c r="O463" i="4"/>
  <c r="O447" i="4"/>
  <c r="O431" i="4"/>
  <c r="O415" i="4"/>
  <c r="O399" i="4"/>
  <c r="O375" i="4"/>
  <c r="O343" i="4"/>
  <c r="O301" i="4"/>
  <c r="O258" i="4"/>
  <c r="O215" i="4"/>
  <c r="O774" i="4"/>
  <c r="O768" i="4"/>
  <c r="O763" i="4"/>
  <c r="O758" i="4"/>
  <c r="O752" i="4"/>
  <c r="O747" i="4"/>
  <c r="O742" i="4"/>
  <c r="O735" i="4"/>
  <c r="O728" i="4"/>
  <c r="O722" i="4"/>
  <c r="O714" i="4"/>
  <c r="O707" i="4"/>
  <c r="O698" i="4"/>
  <c r="O687" i="4"/>
  <c r="O676" i="4"/>
  <c r="O666" i="4"/>
  <c r="O655" i="4"/>
  <c r="O644" i="4"/>
  <c r="O634" i="4"/>
  <c r="O623" i="4"/>
  <c r="O612" i="4"/>
  <c r="O602" i="4"/>
  <c r="O591" i="4"/>
  <c r="O580" i="4"/>
  <c r="O570" i="4"/>
  <c r="O559" i="4"/>
  <c r="O548" i="4"/>
  <c r="O538" i="4"/>
  <c r="O527" i="4"/>
  <c r="O516" i="4"/>
  <c r="O506" i="4"/>
  <c r="O495" i="4"/>
  <c r="O484" i="4"/>
  <c r="O474" i="4"/>
  <c r="O458" i="4"/>
  <c r="O442" i="4"/>
  <c r="O426" i="4"/>
  <c r="O410" i="4"/>
  <c r="O394" i="4"/>
  <c r="O367" i="4"/>
  <c r="O333" i="4"/>
  <c r="O290" i="4"/>
  <c r="O247" i="4"/>
  <c r="O205" i="4"/>
  <c r="F12" i="1" l="1"/>
  <c r="P5" i="4"/>
  <c r="Q5" i="4" s="1"/>
  <c r="F11" i="1" l="1"/>
  <c r="I5" i="1"/>
  <c r="C14" i="3" s="1"/>
  <c r="D14" i="3" s="1"/>
  <c r="P6" i="4"/>
  <c r="Q6" i="4" s="1"/>
  <c r="J5" i="1" l="1"/>
  <c r="P7" i="4"/>
  <c r="Q7" i="4" s="1"/>
  <c r="I8" i="1" l="1"/>
  <c r="J8" i="1"/>
  <c r="C8" i="1"/>
  <c r="D8" i="1" s="1"/>
  <c r="D10" i="1" s="1"/>
  <c r="F8" i="1"/>
  <c r="F10" i="1"/>
  <c r="C11" i="1"/>
  <c r="C9" i="1"/>
  <c r="D9" i="1" s="1"/>
  <c r="C12" i="1"/>
  <c r="D12" i="1" s="1"/>
  <c r="F9" i="1"/>
  <c r="F18" i="1" s="1"/>
  <c r="H9" i="6"/>
  <c r="P8" i="4"/>
  <c r="Q8" i="4" s="1"/>
  <c r="E4" i="6" l="1"/>
  <c r="G18" i="1"/>
  <c r="G21" i="1" s="1"/>
  <c r="E5" i="6"/>
  <c r="G14" i="6" s="1"/>
  <c r="G16" i="6" s="1"/>
  <c r="G18" i="6" s="1"/>
  <c r="J14" i="6" s="1"/>
  <c r="B21" i="1"/>
  <c r="K18" i="1"/>
  <c r="K8" i="1"/>
  <c r="N8" i="1" s="1"/>
  <c r="C2" i="6" s="1"/>
  <c r="E9" i="1"/>
  <c r="E12" i="1"/>
  <c r="E11" i="1"/>
  <c r="K20" i="1" s="1"/>
  <c r="C10" i="1"/>
  <c r="D11" i="1"/>
  <c r="K19" i="1" s="1"/>
  <c r="E8" i="1"/>
  <c r="E10" i="1" s="1"/>
  <c r="P9" i="4"/>
  <c r="G19" i="1" l="1"/>
  <c r="G20" i="1"/>
  <c r="H4" i="6"/>
  <c r="J4" i="6" s="1"/>
  <c r="F4" i="6"/>
  <c r="G4" i="6" s="1"/>
  <c r="F5" i="6"/>
  <c r="G5" i="6" s="1"/>
  <c r="K5" i="6" s="1"/>
  <c r="Q9" i="4"/>
  <c r="K4" i="6" l="1"/>
  <c r="K6" i="6" s="1"/>
  <c r="G6" i="6"/>
  <c r="L5" i="6"/>
  <c r="L4" i="6" l="1"/>
  <c r="L6" i="6" s="1"/>
  <c r="M6" i="6" s="1"/>
  <c r="N6" i="6" s="1"/>
  <c r="I12" i="1"/>
  <c r="N19" i="1" s="1"/>
  <c r="E13" i="6" s="1"/>
  <c r="J13" i="6" s="1"/>
  <c r="N20" i="1" s="1"/>
  <c r="J12" i="1" s="1"/>
  <c r="N12" i="1" s="1"/>
  <c r="K12" i="1" l="1"/>
  <c r="O12" i="1"/>
  <c r="M8" i="6"/>
  <c r="O9" i="6" s="1"/>
  <c r="M9" i="6" l="1"/>
  <c r="M10" i="6" s="1"/>
</calcChain>
</file>

<file path=xl/comments1.xml><?xml version="1.0" encoding="utf-8"?>
<comments xmlns="http://schemas.openxmlformats.org/spreadsheetml/2006/main">
  <authors>
    <author>Autor</author>
  </authors>
  <commentList>
    <comment ref="I9" authorId="0" shapeId="0">
      <text>
        <r>
          <rPr>
            <b/>
            <sz val="12"/>
            <color indexed="81"/>
            <rFont val="NewsGotT"/>
          </rPr>
          <t>AAE:</t>
        </r>
        <r>
          <rPr>
            <sz val="12"/>
            <color indexed="81"/>
            <rFont val="NewsGotT"/>
          </rPr>
          <t xml:space="preserve">
En esta casilla hay que indicar la superficie total de cerramiento exterior o de espacio en contacto con un recinto no acondicionado aunque no sean objeto de la intervención.</t>
        </r>
      </text>
    </comment>
  </commentList>
</comments>
</file>

<file path=xl/sharedStrings.xml><?xml version="1.0" encoding="utf-8"?>
<sst xmlns="http://schemas.openxmlformats.org/spreadsheetml/2006/main" count="3973" uniqueCount="1227">
  <si>
    <t>Provincia</t>
  </si>
  <si>
    <t>Zona climática</t>
  </si>
  <si>
    <t>Valor tabla 2.3</t>
  </si>
  <si>
    <t>Mejora del 20%</t>
  </si>
  <si>
    <t>Mejora del 25%</t>
  </si>
  <si>
    <t>Capital</t>
  </si>
  <si>
    <t>Z.C.</t>
  </si>
  <si>
    <t>Altitud</t>
  </si>
  <si>
    <t>A4</t>
  </si>
  <si>
    <t>A3</t>
  </si>
  <si>
    <t>A2</t>
  </si>
  <si>
    <t>A1</t>
  </si>
  <si>
    <t>B4</t>
  </si>
  <si>
    <t>B3</t>
  </si>
  <si>
    <t>B2</t>
  </si>
  <si>
    <t>B1</t>
  </si>
  <si>
    <t>C4</t>
  </si>
  <si>
    <t>C3</t>
  </si>
  <si>
    <t>C2</t>
  </si>
  <si>
    <t>C1</t>
  </si>
  <si>
    <t>D3</t>
  </si>
  <si>
    <t>D2</t>
  </si>
  <si>
    <t>D1</t>
  </si>
  <si>
    <t>E1</t>
  </si>
  <si>
    <t>h &lt; 450</t>
  </si>
  <si>
    <t>h &lt; 250</t>
  </si>
  <si>
    <t>h &lt; 700</t>
  </si>
  <si>
    <t>h ≥ 700</t>
  </si>
  <si>
    <t>Almería</t>
  </si>
  <si>
    <t>h &lt; 100</t>
  </si>
  <si>
    <t>h &lt; 400</t>
  </si>
  <si>
    <t>h &lt; 800</t>
  </si>
  <si>
    <t>h ≥ 800</t>
  </si>
  <si>
    <t>h &lt; 550</t>
  </si>
  <si>
    <t>h &lt; 850</t>
  </si>
  <si>
    <t>h ≥ 850</t>
  </si>
  <si>
    <t>h &lt; 750</t>
  </si>
  <si>
    <t>h &lt; 600</t>
  </si>
  <si>
    <t>Cádiz</t>
  </si>
  <si>
    <t>h &lt; 150</t>
  </si>
  <si>
    <t>h &lt; 50</t>
  </si>
  <si>
    <t>Córdoba</t>
  </si>
  <si>
    <t>h ≥ 550</t>
  </si>
  <si>
    <t>h &lt; 200</t>
  </si>
  <si>
    <t>h ≥ 200</t>
  </si>
  <si>
    <t>Granada</t>
  </si>
  <si>
    <t>h &lt; 350</t>
  </si>
  <si>
    <t>h &lt; 1300</t>
  </si>
  <si>
    <t>h ≥ 1300</t>
  </si>
  <si>
    <t>Huelva</t>
  </si>
  <si>
    <t>Jaén</t>
  </si>
  <si>
    <t>h &lt; 1250</t>
  </si>
  <si>
    <t>h ≥ 1250</t>
  </si>
  <si>
    <t>Málaga</t>
  </si>
  <si>
    <t>h &lt; 300</t>
  </si>
  <si>
    <t>Sevilla</t>
  </si>
  <si>
    <t>Tabla 2.3 HE1 CTE</t>
  </si>
  <si>
    <t>Muros de fachada y elementos en contacto con el terreno</t>
  </si>
  <si>
    <t>Cubiertas y suelos en contacto con el aire</t>
  </si>
  <si>
    <t>Transmitancia térmica de hueco</t>
  </si>
  <si>
    <t>Permeabilidad al aire de hueco</t>
  </si>
  <si>
    <t>&lt;50</t>
  </si>
  <si>
    <t>A</t>
  </si>
  <si>
    <t>B</t>
  </si>
  <si>
    <t>C</t>
  </si>
  <si>
    <t>D</t>
  </si>
  <si>
    <t>E</t>
  </si>
  <si>
    <t>&lt;27</t>
  </si>
  <si>
    <t>PROVINCIA</t>
  </si>
  <si>
    <t>CMUN</t>
  </si>
  <si>
    <t>NOMBRE</t>
  </si>
  <si>
    <t>POB15</t>
  </si>
  <si>
    <t>HOMBRES</t>
  </si>
  <si>
    <t>MUJERES</t>
  </si>
  <si>
    <t>Latitud</t>
  </si>
  <si>
    <t>Longitud</t>
  </si>
  <si>
    <t>001</t>
  </si>
  <si>
    <t>002</t>
  </si>
  <si>
    <t>003</t>
  </si>
  <si>
    <t>004</t>
  </si>
  <si>
    <t>005</t>
  </si>
  <si>
    <t>006</t>
  </si>
  <si>
    <t>007</t>
  </si>
  <si>
    <t>008</t>
  </si>
  <si>
    <t>009</t>
  </si>
  <si>
    <t>010</t>
  </si>
  <si>
    <t>011</t>
  </si>
  <si>
    <t>012</t>
  </si>
  <si>
    <t>014</t>
  </si>
  <si>
    <t>013</t>
  </si>
  <si>
    <t>015</t>
  </si>
  <si>
    <t>016</t>
  </si>
  <si>
    <t>017</t>
  </si>
  <si>
    <t>018</t>
  </si>
  <si>
    <t>019</t>
  </si>
  <si>
    <t>020</t>
  </si>
  <si>
    <t>021</t>
  </si>
  <si>
    <t>022</t>
  </si>
  <si>
    <t>023</t>
  </si>
  <si>
    <t>024</t>
  </si>
  <si>
    <t>025</t>
  </si>
  <si>
    <t>026</t>
  </si>
  <si>
    <t>029</t>
  </si>
  <si>
    <t>027</t>
  </si>
  <si>
    <t>028</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</si>
  <si>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</si>
  <si>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</si>
  <si>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</si>
  <si>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</si>
  <si>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</si>
  <si>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</si>
  <si>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</si>
  <si>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</si>
  <si>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</si>
  <si>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</si>
  <si>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</si>
  <si>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</si>
  <si>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</si>
  <si>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</si>
  <si>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</si>
  <si>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</si>
  <si>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</si>
  <si>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</si>
  <si>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</si>
  <si>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</si>
  <si>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</si>
  <si>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</si>
  <si>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</si>
  <si>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</si>
  <si>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</si>
  <si>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</si>
  <si>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</si>
  <si>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</si>
  <si>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</si>
  <si>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060</t>
  </si>
  <si>
    <t>059</t>
  </si>
  <si>
    <t>061</t>
  </si>
  <si>
    <t>062</t>
  </si>
  <si>
    <t>901</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</si>
  <si>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</si>
  <si>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</si>
  <si>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</si>
  <si>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</si>
  <si>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</si>
  <si>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</si>
  <si>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</si>
  <si>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</si>
  <si>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</si>
  <si>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</si>
  <si>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</si>
  <si>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</si>
  <si>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</si>
  <si>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</si>
  <si>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</si>
  <si>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</si>
  <si>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</si>
  <si>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</si>
  <si>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</si>
  <si>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</si>
  <si>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</si>
  <si>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</si>
  <si>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</si>
  <si>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</si>
  <si>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088</t>
  </si>
  <si>
    <t>089</t>
  </si>
  <si>
    <t>903</t>
  </si>
  <si>
    <t>091</t>
  </si>
  <si>
    <t>092</t>
  </si>
  <si>
    <t>090</t>
  </si>
  <si>
    <t>093</t>
  </si>
  <si>
    <t>094</t>
  </si>
  <si>
    <t>095</t>
  </si>
  <si>
    <t>096</t>
  </si>
  <si>
    <t>097</t>
  </si>
  <si>
    <t>099</t>
  </si>
  <si>
    <t>098</t>
  </si>
  <si>
    <t>100</t>
  </si>
  <si>
    <t>101</t>
  </si>
  <si>
    <t>102</t>
  </si>
  <si>
    <t>103</t>
  </si>
  <si>
    <t>902</t>
  </si>
  <si>
    <t>105</t>
  </si>
  <si>
    <t>107</t>
  </si>
  <si>
    <t>109</t>
  </si>
  <si>
    <t>111</t>
  </si>
  <si>
    <t>112</t>
  </si>
  <si>
    <t>114</t>
  </si>
  <si>
    <t>115</t>
  </si>
  <si>
    <t>116</t>
  </si>
  <si>
    <t>904</t>
  </si>
  <si>
    <t>120</t>
  </si>
  <si>
    <t>122</t>
  </si>
  <si>
    <t>117</t>
  </si>
  <si>
    <t>119</t>
  </si>
  <si>
    <t>121</t>
  </si>
  <si>
    <t>123</t>
  </si>
  <si>
    <t>124</t>
  </si>
  <si>
    <t>127</t>
  </si>
  <si>
    <t>128</t>
  </si>
  <si>
    <t>132</t>
  </si>
  <si>
    <t>133</t>
  </si>
  <si>
    <t>134</t>
  </si>
  <si>
    <t>136</t>
  </si>
  <si>
    <t>137</t>
  </si>
  <si>
    <t>135</t>
  </si>
  <si>
    <t>138</t>
  </si>
  <si>
    <t>140</t>
  </si>
  <si>
    <t>Abla</t>
  </si>
  <si>
    <t>Abrucena</t>
  </si>
  <si>
    <t>Adra</t>
  </si>
  <si>
    <t>Albánchez</t>
  </si>
  <si>
    <t>Alboloduy</t>
  </si>
  <si>
    <t>Albox</t>
  </si>
  <si>
    <t>Alcolea</t>
  </si>
  <si>
    <t>Alcóntar</t>
  </si>
  <si>
    <t>Alcudia de Monteagud</t>
  </si>
  <si>
    <t>Alhabia</t>
  </si>
  <si>
    <t>Alhama de Almería</t>
  </si>
  <si>
    <t>Alicún</t>
  </si>
  <si>
    <t>Almócita</t>
  </si>
  <si>
    <t>Alsodux</t>
  </si>
  <si>
    <t>Antas</t>
  </si>
  <si>
    <t>Arboleas</t>
  </si>
  <si>
    <t>Armuña de Almanzora</t>
  </si>
  <si>
    <t>Bacares</t>
  </si>
  <si>
    <t>Bayárcal</t>
  </si>
  <si>
    <t>Bayarque</t>
  </si>
  <si>
    <t>Bédar</t>
  </si>
  <si>
    <t>Beires</t>
  </si>
  <si>
    <t>Benahadux</t>
  </si>
  <si>
    <t>Benitagla</t>
  </si>
  <si>
    <t>Benizalón</t>
  </si>
  <si>
    <t>Bentarique</t>
  </si>
  <si>
    <t>Berja</t>
  </si>
  <si>
    <t>Canjáyar</t>
  </si>
  <si>
    <t>Cantoria</t>
  </si>
  <si>
    <t>Carboneras</t>
  </si>
  <si>
    <t>Castro de Filabres</t>
  </si>
  <si>
    <t>Chercos</t>
  </si>
  <si>
    <t>Chirivel</t>
  </si>
  <si>
    <t>Cóbdar</t>
  </si>
  <si>
    <t>Cuevas del Almanzora</t>
  </si>
  <si>
    <t>Dalías</t>
  </si>
  <si>
    <t>Ejido, El</t>
  </si>
  <si>
    <t>Enix</t>
  </si>
  <si>
    <t>Felix</t>
  </si>
  <si>
    <t>Fines</t>
  </si>
  <si>
    <t>Fiñana</t>
  </si>
  <si>
    <t>Fondón</t>
  </si>
  <si>
    <t>Gádor</t>
  </si>
  <si>
    <t>Gallardos, Los</t>
  </si>
  <si>
    <t>Garrucha</t>
  </si>
  <si>
    <t>Gérgal</t>
  </si>
  <si>
    <t>Huécija</t>
  </si>
  <si>
    <t>Huércal de Almería</t>
  </si>
  <si>
    <t>Huércal-Overa</t>
  </si>
  <si>
    <t>Illar</t>
  </si>
  <si>
    <t>Instinción</t>
  </si>
  <si>
    <t>Laroya</t>
  </si>
  <si>
    <t>Láujar de Andarax</t>
  </si>
  <si>
    <t>Líjar</t>
  </si>
  <si>
    <t>Lubrín</t>
  </si>
  <si>
    <t>Lucainena de las Torres</t>
  </si>
  <si>
    <t>Lúcar</t>
  </si>
  <si>
    <t>Macael</t>
  </si>
  <si>
    <t>María</t>
  </si>
  <si>
    <t>Mojácar</t>
  </si>
  <si>
    <t>Mojonera, La</t>
  </si>
  <si>
    <t>Nacimiento</t>
  </si>
  <si>
    <t>Níjar</t>
  </si>
  <si>
    <t>Ohanes</t>
  </si>
  <si>
    <t>Olula de Castro</t>
  </si>
  <si>
    <t>Olula del Río</t>
  </si>
  <si>
    <t>Oria</t>
  </si>
  <si>
    <t>Padules</t>
  </si>
  <si>
    <t>Partaloa</t>
  </si>
  <si>
    <t>Paterna del Río</t>
  </si>
  <si>
    <t>Pechina</t>
  </si>
  <si>
    <t>Pulpí</t>
  </si>
  <si>
    <t>Purchena</t>
  </si>
  <si>
    <t>Rágol</t>
  </si>
  <si>
    <t>Rioja</t>
  </si>
  <si>
    <t>Roquetas de Mar</t>
  </si>
  <si>
    <t>Santa Cruz de Marchena</t>
  </si>
  <si>
    <t>Santa Fe de Mondújar</t>
  </si>
  <si>
    <t>Senés</t>
  </si>
  <si>
    <t>Serón</t>
  </si>
  <si>
    <t>Sierro</t>
  </si>
  <si>
    <t>Somontín</t>
  </si>
  <si>
    <t>Sorbas</t>
  </si>
  <si>
    <t>087</t>
  </si>
  <si>
    <t>Suflí</t>
  </si>
  <si>
    <t>Tabernas</t>
  </si>
  <si>
    <t>Taberno</t>
  </si>
  <si>
    <t>Tahal</t>
  </si>
  <si>
    <t>Terque</t>
  </si>
  <si>
    <t>Tíjola</t>
  </si>
  <si>
    <t>Tres Villas, Las</t>
  </si>
  <si>
    <t>Turre</t>
  </si>
  <si>
    <t>Turrillas</t>
  </si>
  <si>
    <t>Uleila del Campo</t>
  </si>
  <si>
    <t>Urrácal</t>
  </si>
  <si>
    <t>Velefique</t>
  </si>
  <si>
    <t>Vélez-Blanco</t>
  </si>
  <si>
    <t>Vélez-Rubio</t>
  </si>
  <si>
    <t>Vera</t>
  </si>
  <si>
    <t>Viator</t>
  </si>
  <si>
    <t>Vícar</t>
  </si>
  <si>
    <t>Zurgena</t>
  </si>
  <si>
    <t>108</t>
  </si>
  <si>
    <t>126</t>
  </si>
  <si>
    <t>141</t>
  </si>
  <si>
    <t>143</t>
  </si>
  <si>
    <t>144</t>
  </si>
  <si>
    <t>145</t>
  </si>
  <si>
    <t>149</t>
  </si>
  <si>
    <t>147</t>
  </si>
  <si>
    <t>148</t>
  </si>
  <si>
    <t>152</t>
  </si>
  <si>
    <t>153</t>
  </si>
  <si>
    <t>151</t>
  </si>
  <si>
    <t>154</t>
  </si>
  <si>
    <t>157</t>
  </si>
  <si>
    <t>158</t>
  </si>
  <si>
    <t>159</t>
  </si>
  <si>
    <t>161</t>
  </si>
  <si>
    <t>162</t>
  </si>
  <si>
    <t>163</t>
  </si>
  <si>
    <t>164</t>
  </si>
  <si>
    <t>165</t>
  </si>
  <si>
    <t>167</t>
  </si>
  <si>
    <t>168</t>
  </si>
  <si>
    <t>170</t>
  </si>
  <si>
    <t>171</t>
  </si>
  <si>
    <t>173</t>
  </si>
  <si>
    <t>174</t>
  </si>
  <si>
    <t>175</t>
  </si>
  <si>
    <t>176</t>
  </si>
  <si>
    <t>177</t>
  </si>
  <si>
    <t>178</t>
  </si>
  <si>
    <t>179</t>
  </si>
  <si>
    <t>180</t>
  </si>
  <si>
    <t>181</t>
  </si>
  <si>
    <t>182</t>
  </si>
  <si>
    <t>183</t>
  </si>
  <si>
    <t>184</t>
  </si>
  <si>
    <t>185</t>
  </si>
  <si>
    <t>187</t>
  </si>
  <si>
    <t>188</t>
  </si>
  <si>
    <t>189</t>
  </si>
  <si>
    <t>192</t>
  </si>
  <si>
    <t>193</t>
  </si>
  <si>
    <t>194</t>
  </si>
  <si>
    <t>905</t>
  </si>
  <si>
    <t>146</t>
  </si>
  <si>
    <t>150</t>
  </si>
  <si>
    <t>911</t>
  </si>
  <si>
    <t>912</t>
  </si>
  <si>
    <t>914</t>
  </si>
  <si>
    <t>906</t>
  </si>
  <si>
    <t>910</t>
  </si>
  <si>
    <t>907</t>
  </si>
  <si>
    <t>908</t>
  </si>
  <si>
    <t>909</t>
  </si>
  <si>
    <t>913</t>
  </si>
  <si>
    <t>Alcalá de los Gazules</t>
  </si>
  <si>
    <t>Alcalá del Valle</t>
  </si>
  <si>
    <t>Algar</t>
  </si>
  <si>
    <t>Algeciras</t>
  </si>
  <si>
    <t>Algodonales</t>
  </si>
  <si>
    <t>Arcos de la Frontera</t>
  </si>
  <si>
    <t>Barbate</t>
  </si>
  <si>
    <t>Barrios, Los</t>
  </si>
  <si>
    <t>Benalup-Casas Viejas</t>
  </si>
  <si>
    <t>Benaocaz</t>
  </si>
  <si>
    <t>Bornos</t>
  </si>
  <si>
    <t>Bosque, El</t>
  </si>
  <si>
    <t>Castellar de la Frontera</t>
  </si>
  <si>
    <t>Chiclana de la Frontera</t>
  </si>
  <si>
    <t>Chipiona</t>
  </si>
  <si>
    <t>Conil de la Frontera</t>
  </si>
  <si>
    <t>Espera</t>
  </si>
  <si>
    <t>Gastor, El</t>
  </si>
  <si>
    <t>Grazalema</t>
  </si>
  <si>
    <t>Jerez de la Frontera</t>
  </si>
  <si>
    <t>Jimena de la Frontera</t>
  </si>
  <si>
    <t>Línea de la Concepción, La</t>
  </si>
  <si>
    <t>Medina-Sidonia</t>
  </si>
  <si>
    <t>Olvera</t>
  </si>
  <si>
    <t>Paterna de Rivera</t>
  </si>
  <si>
    <t>Prado del Rey</t>
  </si>
  <si>
    <t>Puerto de Santa María, El</t>
  </si>
  <si>
    <t>Puerto Real</t>
  </si>
  <si>
    <t>Puerto Serrano</t>
  </si>
  <si>
    <t>Rota</t>
  </si>
  <si>
    <t>San Fernando</t>
  </si>
  <si>
    <t>San José del Valle</t>
  </si>
  <si>
    <t>San Roque</t>
  </si>
  <si>
    <t>Sanlúcar de Barrameda</t>
  </si>
  <si>
    <t>Setenil de las Bodegas</t>
  </si>
  <si>
    <t>Tarifa</t>
  </si>
  <si>
    <t>Torre Alháquime</t>
  </si>
  <si>
    <t>Trebujena</t>
  </si>
  <si>
    <t>Ubrique</t>
  </si>
  <si>
    <t>Vejer de la Frontera</t>
  </si>
  <si>
    <t>Villaluenga del Rosario</t>
  </si>
  <si>
    <t>Villamartín</t>
  </si>
  <si>
    <t>Zahara</t>
  </si>
  <si>
    <t>Adamuz</t>
  </si>
  <si>
    <t>Aguilar de la Frontera</t>
  </si>
  <si>
    <t>Alcaracejos</t>
  </si>
  <si>
    <t>Almedinilla</t>
  </si>
  <si>
    <t>Almodóvar del Río</t>
  </si>
  <si>
    <t>Añora</t>
  </si>
  <si>
    <t>Baena</t>
  </si>
  <si>
    <t>Belalcázar</t>
  </si>
  <si>
    <t>Belmez</t>
  </si>
  <si>
    <t>Benamejí</t>
  </si>
  <si>
    <t>Blázquez, Los</t>
  </si>
  <si>
    <t>Bujalance</t>
  </si>
  <si>
    <t>Cabra</t>
  </si>
  <si>
    <t>Cañete de las Torres</t>
  </si>
  <si>
    <t>Carcabuey</t>
  </si>
  <si>
    <t>Cardeña</t>
  </si>
  <si>
    <t>Carlota, La</t>
  </si>
  <si>
    <t>Carpio, El</t>
  </si>
  <si>
    <t>Castro del Río</t>
  </si>
  <si>
    <t>Conquista</t>
  </si>
  <si>
    <t>Doña Mencía</t>
  </si>
  <si>
    <t>Dos Torres</t>
  </si>
  <si>
    <t>Encinas Reales</t>
  </si>
  <si>
    <t>Espejo</t>
  </si>
  <si>
    <t>Espiel</t>
  </si>
  <si>
    <t>Fernán-Núñez</t>
  </si>
  <si>
    <t>Fuente la Lancha</t>
  </si>
  <si>
    <t>Fuente Obejuna</t>
  </si>
  <si>
    <t>Fuente Palmera</t>
  </si>
  <si>
    <t>Fuente-Tójar</t>
  </si>
  <si>
    <t>Granjuela, La</t>
  </si>
  <si>
    <t>Guadalcázar</t>
  </si>
  <si>
    <t>Guijo, El</t>
  </si>
  <si>
    <t>Hinojosa del Duque</t>
  </si>
  <si>
    <t>Hornachuelos</t>
  </si>
  <si>
    <t>Iznájar</t>
  </si>
  <si>
    <t>Lucena</t>
  </si>
  <si>
    <t>Luque</t>
  </si>
  <si>
    <t>Montalbán de Córdoba</t>
  </si>
  <si>
    <t>Montemayor</t>
  </si>
  <si>
    <t>Montilla</t>
  </si>
  <si>
    <t>Montoro</t>
  </si>
  <si>
    <t>Monturque</t>
  </si>
  <si>
    <t>Moriles</t>
  </si>
  <si>
    <t>Nueva Carteya</t>
  </si>
  <si>
    <t>Obejo</t>
  </si>
  <si>
    <t>Palenciana</t>
  </si>
  <si>
    <t>Palma del Río</t>
  </si>
  <si>
    <t>Pedro Abad</t>
  </si>
  <si>
    <t>Pedroche</t>
  </si>
  <si>
    <t>Peñarroya-Pueblonuevo</t>
  </si>
  <si>
    <t>Posadas</t>
  </si>
  <si>
    <t>Pozoblanco</t>
  </si>
  <si>
    <t>Priego de Córdoba</t>
  </si>
  <si>
    <t>Puente Genil</t>
  </si>
  <si>
    <t>Rambla, La</t>
  </si>
  <si>
    <t>Rute</t>
  </si>
  <si>
    <t>San Sebastián de los Ballesteros</t>
  </si>
  <si>
    <t>Santa Eufemia</t>
  </si>
  <si>
    <t>Santaella</t>
  </si>
  <si>
    <t>Torrecampo</t>
  </si>
  <si>
    <t>Valenzuela</t>
  </si>
  <si>
    <t>Valsequillo</t>
  </si>
  <si>
    <t>Victoria, La</t>
  </si>
  <si>
    <t>Villa del Río</t>
  </si>
  <si>
    <t>Villafranca de Córdoba</t>
  </si>
  <si>
    <t>Villaharta</t>
  </si>
  <si>
    <t>Villanueva de Córdoba</t>
  </si>
  <si>
    <t>Villanueva del Duque</t>
  </si>
  <si>
    <t>Villanueva del Rey</t>
  </si>
  <si>
    <t>Villaralto</t>
  </si>
  <si>
    <t>Villaviciosa de Córdoba</t>
  </si>
  <si>
    <t>Viso, El</t>
  </si>
  <si>
    <t>Zuheros</t>
  </si>
  <si>
    <t>Agrón</t>
  </si>
  <si>
    <t>Alamedilla</t>
  </si>
  <si>
    <t>Albolote</t>
  </si>
  <si>
    <t>Albondón</t>
  </si>
  <si>
    <t>Albuñán</t>
  </si>
  <si>
    <t>Albuñol</t>
  </si>
  <si>
    <t>Albuñuelas</t>
  </si>
  <si>
    <t>Aldeire</t>
  </si>
  <si>
    <t>Alfacar</t>
  </si>
  <si>
    <t>Algarinejo</t>
  </si>
  <si>
    <t>Alhama de Granada</t>
  </si>
  <si>
    <t>Alhendín</t>
  </si>
  <si>
    <t>Alicún de Ortega</t>
  </si>
  <si>
    <t>Almegíjar</t>
  </si>
  <si>
    <t>Almuñécar</t>
  </si>
  <si>
    <t>Alpujarra de la Sierra</t>
  </si>
  <si>
    <t>Alquife</t>
  </si>
  <si>
    <t>Arenas del Rey</t>
  </si>
  <si>
    <t>Armilla</t>
  </si>
  <si>
    <t>Atarfe</t>
  </si>
  <si>
    <t>Baza</t>
  </si>
  <si>
    <t>Beas de Granada</t>
  </si>
  <si>
    <t>Beas de Guadix</t>
  </si>
  <si>
    <t>Benalúa</t>
  </si>
  <si>
    <t>Benalúa de las Villas</t>
  </si>
  <si>
    <t>Benamaurel</t>
  </si>
  <si>
    <t>Bérchules</t>
  </si>
  <si>
    <t>Bubión</t>
  </si>
  <si>
    <t>Busquístar</t>
  </si>
  <si>
    <t>Cacín</t>
  </si>
  <si>
    <t>Cádiar</t>
  </si>
  <si>
    <t>Cájar</t>
  </si>
  <si>
    <t>Calahorra, La</t>
  </si>
  <si>
    <t>Calicasas</t>
  </si>
  <si>
    <t>Campotéjar</t>
  </si>
  <si>
    <t>Caniles</t>
  </si>
  <si>
    <t>Cáñar</t>
  </si>
  <si>
    <t>Capileira</t>
  </si>
  <si>
    <t>Carataunas</t>
  </si>
  <si>
    <t>Cástaras</t>
  </si>
  <si>
    <t>Castilléjar</t>
  </si>
  <si>
    <t>Castril</t>
  </si>
  <si>
    <t>Cenes de la Vega</t>
  </si>
  <si>
    <t>Chauchina</t>
  </si>
  <si>
    <t>Chimeneas</t>
  </si>
  <si>
    <t>Churriana de la Vega</t>
  </si>
  <si>
    <t>Cijuela</t>
  </si>
  <si>
    <t>Cogollos de Guadix</t>
  </si>
  <si>
    <t>Cogollos de la Vega</t>
  </si>
  <si>
    <t>Colomera</t>
  </si>
  <si>
    <t>Cortes de Baza</t>
  </si>
  <si>
    <t>Cortes y Graena</t>
  </si>
  <si>
    <t>Cuevas del Campo</t>
  </si>
  <si>
    <t>Cúllar</t>
  </si>
  <si>
    <t>Cúllar Vega</t>
  </si>
  <si>
    <t>Darro</t>
  </si>
  <si>
    <t>Dehesas de Guadix</t>
  </si>
  <si>
    <t>Dehesas Viejas</t>
  </si>
  <si>
    <t>Deifontes</t>
  </si>
  <si>
    <t>Diezma</t>
  </si>
  <si>
    <t>Dílar</t>
  </si>
  <si>
    <t>Dólar</t>
  </si>
  <si>
    <t>Dúdar</t>
  </si>
  <si>
    <t>Dúrcal</t>
  </si>
  <si>
    <t>Escúzar</t>
  </si>
  <si>
    <t>Ferreira</t>
  </si>
  <si>
    <t>Fonelas</t>
  </si>
  <si>
    <t>Freila</t>
  </si>
  <si>
    <t>Fuente Vaqueros</t>
  </si>
  <si>
    <t>Gabias, Las</t>
  </si>
  <si>
    <t>Galera</t>
  </si>
  <si>
    <t>Gobernador</t>
  </si>
  <si>
    <t>Gójar</t>
  </si>
  <si>
    <t>Gor</t>
  </si>
  <si>
    <t>Gorafe</t>
  </si>
  <si>
    <t>Guadahortuna</t>
  </si>
  <si>
    <t>Guadix</t>
  </si>
  <si>
    <t>Guajares, Los</t>
  </si>
  <si>
    <t>Gualchos</t>
  </si>
  <si>
    <t>Güejar Sierra</t>
  </si>
  <si>
    <t>Güevéjar</t>
  </si>
  <si>
    <t>Huélago</t>
  </si>
  <si>
    <t>Huéneja</t>
  </si>
  <si>
    <t>Huéscar</t>
  </si>
  <si>
    <t>Huétor de Santillán</t>
  </si>
  <si>
    <t>Huétor Tájar</t>
  </si>
  <si>
    <t>Huétor Vega</t>
  </si>
  <si>
    <t>Illora</t>
  </si>
  <si>
    <t>Itrabo</t>
  </si>
  <si>
    <t>Iznalloz</t>
  </si>
  <si>
    <t>Jayena</t>
  </si>
  <si>
    <t>Jerez del Marquesado</t>
  </si>
  <si>
    <t>Jete</t>
  </si>
  <si>
    <t>Jun</t>
  </si>
  <si>
    <t>Juviles</t>
  </si>
  <si>
    <t>Láchar</t>
  </si>
  <si>
    <t>Lanjarón</t>
  </si>
  <si>
    <t>Lanteira</t>
  </si>
  <si>
    <t>Lecrín</t>
  </si>
  <si>
    <t>Lentegí</t>
  </si>
  <si>
    <t>Lobras</t>
  </si>
  <si>
    <t>Loja</t>
  </si>
  <si>
    <t>Lugros</t>
  </si>
  <si>
    <t>Lújar</t>
  </si>
  <si>
    <t>Malahá, La</t>
  </si>
  <si>
    <t>Maracena</t>
  </si>
  <si>
    <t>Marchal</t>
  </si>
  <si>
    <t>Moclín</t>
  </si>
  <si>
    <t>Molvízar</t>
  </si>
  <si>
    <t>Monachil</t>
  </si>
  <si>
    <t>Montefrío</t>
  </si>
  <si>
    <t>Montejícar</t>
  </si>
  <si>
    <t>Montillana</t>
  </si>
  <si>
    <t>Moraleda de Zafayona</t>
  </si>
  <si>
    <t>Morelábor</t>
  </si>
  <si>
    <t>Motril</t>
  </si>
  <si>
    <t>Murtas</t>
  </si>
  <si>
    <t>Nevada</t>
  </si>
  <si>
    <t>Nigüelas</t>
  </si>
  <si>
    <t>Nívar</t>
  </si>
  <si>
    <t>Ogíjares</t>
  </si>
  <si>
    <t>Orce</t>
  </si>
  <si>
    <t>Órgiva</t>
  </si>
  <si>
    <t>Otívar</t>
  </si>
  <si>
    <t>Padul</t>
  </si>
  <si>
    <t>Pampaneira</t>
  </si>
  <si>
    <t>Pedro Martínez</t>
  </si>
  <si>
    <t>Peligros</t>
  </si>
  <si>
    <t>Peza, La</t>
  </si>
  <si>
    <t>Pinar, El</t>
  </si>
  <si>
    <t>Pinos Genil</t>
  </si>
  <si>
    <t>Pinos Puente</t>
  </si>
  <si>
    <t>Píñar</t>
  </si>
  <si>
    <t>Polícar</t>
  </si>
  <si>
    <t>Polopos</t>
  </si>
  <si>
    <t>Pórtugos</t>
  </si>
  <si>
    <t>Puebla de Don Fadrique</t>
  </si>
  <si>
    <t>Pulianas</t>
  </si>
  <si>
    <t>Purullena</t>
  </si>
  <si>
    <t>Quéntar</t>
  </si>
  <si>
    <t>Rubite</t>
  </si>
  <si>
    <t>Salar</t>
  </si>
  <si>
    <t>Salobreña</t>
  </si>
  <si>
    <t>Santa Cruz del Comercio</t>
  </si>
  <si>
    <t>Santa Fe</t>
  </si>
  <si>
    <t>Soportújar</t>
  </si>
  <si>
    <t>Sorvilán</t>
  </si>
  <si>
    <t>Taha, La</t>
  </si>
  <si>
    <t>Torre-Cardela</t>
  </si>
  <si>
    <t>Torvizcón</t>
  </si>
  <si>
    <t>Trevélez</t>
  </si>
  <si>
    <t>Turón</t>
  </si>
  <si>
    <t>Ugíjar</t>
  </si>
  <si>
    <t>Valderrubio</t>
  </si>
  <si>
    <t>Valle del Zalabí</t>
  </si>
  <si>
    <t>Valle, El</t>
  </si>
  <si>
    <t>Válor</t>
  </si>
  <si>
    <t>Vegas del Genil</t>
  </si>
  <si>
    <t>Vélez de Benaudalla</t>
  </si>
  <si>
    <t>Ventas de Huelma</t>
  </si>
  <si>
    <t>Villa de Otura</t>
  </si>
  <si>
    <t>Villamena</t>
  </si>
  <si>
    <t>Villanueva de las Torres</t>
  </si>
  <si>
    <t>Villanueva Mesía</t>
  </si>
  <si>
    <t>Víznar</t>
  </si>
  <si>
    <t>Zafarraya</t>
  </si>
  <si>
    <t>Zagra</t>
  </si>
  <si>
    <t>Zubia, La</t>
  </si>
  <si>
    <t>Zújar</t>
  </si>
  <si>
    <t>Alájar</t>
  </si>
  <si>
    <t>Aljaraque</t>
  </si>
  <si>
    <t>Almendro, El</t>
  </si>
  <si>
    <t>Almonaster la Real</t>
  </si>
  <si>
    <t>Almonte</t>
  </si>
  <si>
    <t>Alosno</t>
  </si>
  <si>
    <t>Aracena</t>
  </si>
  <si>
    <t>Aroche</t>
  </si>
  <si>
    <t>Arroyomolinos de León</t>
  </si>
  <si>
    <t>Ayamonte</t>
  </si>
  <si>
    <t>Beas</t>
  </si>
  <si>
    <t>Berrocal</t>
  </si>
  <si>
    <t>Bollullos Par del Condado</t>
  </si>
  <si>
    <t>Bonares</t>
  </si>
  <si>
    <t>Cabezas Rubias</t>
  </si>
  <si>
    <t>Cala</t>
  </si>
  <si>
    <t>Calañas</t>
  </si>
  <si>
    <t>Campillo, El</t>
  </si>
  <si>
    <t>Campofrío</t>
  </si>
  <si>
    <t>Cañaveral de León</t>
  </si>
  <si>
    <t>Cartaya</t>
  </si>
  <si>
    <t>Castaño del Robledo</t>
  </si>
  <si>
    <t>Cerro de Andévalo, El</t>
  </si>
  <si>
    <t>Chucena</t>
  </si>
  <si>
    <t>Corteconcepción</t>
  </si>
  <si>
    <t>Cortegana</t>
  </si>
  <si>
    <t>Cortelazor</t>
  </si>
  <si>
    <t>Cumbres de Enmedio</t>
  </si>
  <si>
    <t>Cumbres de San Bartolomé</t>
  </si>
  <si>
    <t>Cumbres Mayores</t>
  </si>
  <si>
    <t>Encinasola</t>
  </si>
  <si>
    <t>Escacena del Campo</t>
  </si>
  <si>
    <t>Fuenteheridos</t>
  </si>
  <si>
    <t>Galaroza</t>
  </si>
  <si>
    <t>Gibraleón</t>
  </si>
  <si>
    <t>Granada de Río-Tinto, La</t>
  </si>
  <si>
    <t>Granado, El</t>
  </si>
  <si>
    <t>Higuera de la Sierra</t>
  </si>
  <si>
    <t>Hinojales</t>
  </si>
  <si>
    <t>Hinojos</t>
  </si>
  <si>
    <t>Isla Cristina</t>
  </si>
  <si>
    <t>Jabugo</t>
  </si>
  <si>
    <t>Lepe</t>
  </si>
  <si>
    <t>Linares de la Sierra</t>
  </si>
  <si>
    <t>Lucena del Puerto</t>
  </si>
  <si>
    <t>Manzanilla</t>
  </si>
  <si>
    <t>Marines, Los</t>
  </si>
  <si>
    <t>Minas de Riotinto</t>
  </si>
  <si>
    <t>Moguer</t>
  </si>
  <si>
    <t>Nava, La</t>
  </si>
  <si>
    <t>Nerva</t>
  </si>
  <si>
    <t>Niebla</t>
  </si>
  <si>
    <t>Palma del Condado, La</t>
  </si>
  <si>
    <t>Palos de la Frontera</t>
  </si>
  <si>
    <t>Paterna del Campo</t>
  </si>
  <si>
    <t>Paymogo</t>
  </si>
  <si>
    <t>Puebla de Guzmán</t>
  </si>
  <si>
    <t>Puerto Moral</t>
  </si>
  <si>
    <t>Punta Umbría</t>
  </si>
  <si>
    <t>Rociana del Condado</t>
  </si>
  <si>
    <t>Rosal de la Frontera</t>
  </si>
  <si>
    <t>San Bartolomé de la Torre</t>
  </si>
  <si>
    <t>San Juan del Puerto</t>
  </si>
  <si>
    <t>San Silvestre de Guzmán</t>
  </si>
  <si>
    <t>Sanlúcar de Guadiana</t>
  </si>
  <si>
    <t>Santa Ana la Real</t>
  </si>
  <si>
    <t>Santa Bárbara de Casa</t>
  </si>
  <si>
    <t>Santa Olalla del Cala</t>
  </si>
  <si>
    <t>Trigueros</t>
  </si>
  <si>
    <t>Valdelarco</t>
  </si>
  <si>
    <t>Valverde del Camino</t>
  </si>
  <si>
    <t>Villablanca</t>
  </si>
  <si>
    <t>Villalba del Alcor</t>
  </si>
  <si>
    <t>Villanueva de las Cruces</t>
  </si>
  <si>
    <t>Villanueva de los Castillejos</t>
  </si>
  <si>
    <t>Villarrasa</t>
  </si>
  <si>
    <t>Zalamea la Real</t>
  </si>
  <si>
    <t>Zufre</t>
  </si>
  <si>
    <t>Albanchez de Mágina</t>
  </si>
  <si>
    <t>Alcalá la Real</t>
  </si>
  <si>
    <t>Alcaudete</t>
  </si>
  <si>
    <t>Aldeaquemada</t>
  </si>
  <si>
    <t>Andújar</t>
  </si>
  <si>
    <t>Arjona</t>
  </si>
  <si>
    <t>Arjonilla</t>
  </si>
  <si>
    <t>Arquillos</t>
  </si>
  <si>
    <t>Arroyo del Ojanco</t>
  </si>
  <si>
    <t>Baeza</t>
  </si>
  <si>
    <t>Bailén</t>
  </si>
  <si>
    <t>Baños de la Encina</t>
  </si>
  <si>
    <t>Beas de Segura</t>
  </si>
  <si>
    <t>Bedmar y Garcíez</t>
  </si>
  <si>
    <t>Begíjar</t>
  </si>
  <si>
    <t>Bélmez de la Moraleda</t>
  </si>
  <si>
    <t>Benatae</t>
  </si>
  <si>
    <t>Cabra del Santo Cristo</t>
  </si>
  <si>
    <t>Cambil</t>
  </si>
  <si>
    <t>Campillo de Arenas</t>
  </si>
  <si>
    <t>Canena</t>
  </si>
  <si>
    <t>Carboneros</t>
  </si>
  <si>
    <t>Cárcheles</t>
  </si>
  <si>
    <t>Carolina, La</t>
  </si>
  <si>
    <t>Castellar</t>
  </si>
  <si>
    <t>Castillo de Locubín</t>
  </si>
  <si>
    <t>Cazalilla</t>
  </si>
  <si>
    <t>Cazorla</t>
  </si>
  <si>
    <t>Chiclana de Segura</t>
  </si>
  <si>
    <t>Chilluévar</t>
  </si>
  <si>
    <t>Escañuela</t>
  </si>
  <si>
    <t>Espelúy</t>
  </si>
  <si>
    <t>Frailes</t>
  </si>
  <si>
    <t>Fuensanta de Martos</t>
  </si>
  <si>
    <t>Fuerte del Rey</t>
  </si>
  <si>
    <t>Génave</t>
  </si>
  <si>
    <t>Guardia de Jaén, La</t>
  </si>
  <si>
    <t>Guarromán</t>
  </si>
  <si>
    <t>Higuera de Calatrava</t>
  </si>
  <si>
    <t>Hinojares</t>
  </si>
  <si>
    <t>Hornos</t>
  </si>
  <si>
    <t>Huelma</t>
  </si>
  <si>
    <t>Huesa</t>
  </si>
  <si>
    <t>Ibros</t>
  </si>
  <si>
    <t>Iruela, La</t>
  </si>
  <si>
    <t>Iznatoraf</t>
  </si>
  <si>
    <t>Jabalquinto</t>
  </si>
  <si>
    <t>Jamilena</t>
  </si>
  <si>
    <t>Jimena</t>
  </si>
  <si>
    <t>Jódar</t>
  </si>
  <si>
    <t>Lahiguera</t>
  </si>
  <si>
    <t>Larva</t>
  </si>
  <si>
    <t>Linares</t>
  </si>
  <si>
    <t>Lopera</t>
  </si>
  <si>
    <t>Lupión</t>
  </si>
  <si>
    <t>Mancha Real</t>
  </si>
  <si>
    <t>Marmolejo</t>
  </si>
  <si>
    <t>Martos</t>
  </si>
  <si>
    <t>Mengíbar</t>
  </si>
  <si>
    <t>Montizón</t>
  </si>
  <si>
    <t>Navas de San Juan</t>
  </si>
  <si>
    <t>Noalejo</t>
  </si>
  <si>
    <t>Orcera</t>
  </si>
  <si>
    <t>Peal de Becerro</t>
  </si>
  <si>
    <t>Pegalajar</t>
  </si>
  <si>
    <t>Porcuna</t>
  </si>
  <si>
    <t>Pozo Alcón</t>
  </si>
  <si>
    <t>Puente de Génave</t>
  </si>
  <si>
    <t>Puerta de Segura, La</t>
  </si>
  <si>
    <t>Quesada</t>
  </si>
  <si>
    <t>Rus</t>
  </si>
  <si>
    <t>Sabiote</t>
  </si>
  <si>
    <t>Santa Elena</t>
  </si>
  <si>
    <t>Santiago de Calatrava</t>
  </si>
  <si>
    <t>Santiago-Pontones</t>
  </si>
  <si>
    <t>Santisteban del Puerto</t>
  </si>
  <si>
    <t>Santo Tomé</t>
  </si>
  <si>
    <t>Segura de la Sierra</t>
  </si>
  <si>
    <t>Siles</t>
  </si>
  <si>
    <t>Sorihuela del Guadalimar</t>
  </si>
  <si>
    <t>Torreblascopedro</t>
  </si>
  <si>
    <t>Torredelcampo</t>
  </si>
  <si>
    <t>Torredonjimeno</t>
  </si>
  <si>
    <t>Torreperogil</t>
  </si>
  <si>
    <t>Torres</t>
  </si>
  <si>
    <t>Torres de Albánchez</t>
  </si>
  <si>
    <t>Úbeda</t>
  </si>
  <si>
    <t>Valdepeñas de Jaén</t>
  </si>
  <si>
    <t>Vilches</t>
  </si>
  <si>
    <t>Villacarrillo</t>
  </si>
  <si>
    <t>Villanueva de la Reina</t>
  </si>
  <si>
    <t>Villanueva del Arzobispo</t>
  </si>
  <si>
    <t>Villardompardo</t>
  </si>
  <si>
    <t>Villares, Los</t>
  </si>
  <si>
    <t>Villarrodrigo</t>
  </si>
  <si>
    <t>Villatorres</t>
  </si>
  <si>
    <t>Alameda</t>
  </si>
  <si>
    <t>Alcaucín</t>
  </si>
  <si>
    <t>Alfarnate</t>
  </si>
  <si>
    <t>Alfarnatejo</t>
  </si>
  <si>
    <t>Algarrobo</t>
  </si>
  <si>
    <t>Algatocín</t>
  </si>
  <si>
    <t>Alhaurín de la Torre</t>
  </si>
  <si>
    <t>Alhaurín el Grande</t>
  </si>
  <si>
    <t>Almáchar</t>
  </si>
  <si>
    <t>Almargen</t>
  </si>
  <si>
    <t>Almogía</t>
  </si>
  <si>
    <t>Álora</t>
  </si>
  <si>
    <t>Alozaina</t>
  </si>
  <si>
    <t>Alpandeire</t>
  </si>
  <si>
    <t>Antequera</t>
  </si>
  <si>
    <t>Árchez</t>
  </si>
  <si>
    <t>Archidona</t>
  </si>
  <si>
    <t>Ardales</t>
  </si>
  <si>
    <t>Arenas</t>
  </si>
  <si>
    <t>Arriate</t>
  </si>
  <si>
    <t>Atajate</t>
  </si>
  <si>
    <t>Benadalid</t>
  </si>
  <si>
    <t>Benahavís</t>
  </si>
  <si>
    <t>Benalauría</t>
  </si>
  <si>
    <t>Benalmádena</t>
  </si>
  <si>
    <t>Benamargosa</t>
  </si>
  <si>
    <t>Benamocarra</t>
  </si>
  <si>
    <t>Benaoján</t>
  </si>
  <si>
    <t>Benarrabá</t>
  </si>
  <si>
    <t>Borge, El</t>
  </si>
  <si>
    <t>Burgo, El</t>
  </si>
  <si>
    <t>Campillos</t>
  </si>
  <si>
    <t>Canillas de Aceituno</t>
  </si>
  <si>
    <t>Canillas de Albaida</t>
  </si>
  <si>
    <t>Cañete la Real</t>
  </si>
  <si>
    <t>Carratraca</t>
  </si>
  <si>
    <t>Cartajima</t>
  </si>
  <si>
    <t>Cártama</t>
  </si>
  <si>
    <t>Casabermeja</t>
  </si>
  <si>
    <t>Casarabonela</t>
  </si>
  <si>
    <t>Casares</t>
  </si>
  <si>
    <t>Coín</t>
  </si>
  <si>
    <t>Colmenar</t>
  </si>
  <si>
    <t>Comares</t>
  </si>
  <si>
    <t>Cómpeta</t>
  </si>
  <si>
    <t>Cortes de la Frontera</t>
  </si>
  <si>
    <t>Cuevas Bajas</t>
  </si>
  <si>
    <t>Cuevas de San Marcos</t>
  </si>
  <si>
    <t>Cuevas del Becerro</t>
  </si>
  <si>
    <t>Cútar</t>
  </si>
  <si>
    <t>Estepona</t>
  </si>
  <si>
    <t>Faraján</t>
  </si>
  <si>
    <t>Frigiliana</t>
  </si>
  <si>
    <t>Fuengirola</t>
  </si>
  <si>
    <t>Fuente de Piedra</t>
  </si>
  <si>
    <t>Gaucín</t>
  </si>
  <si>
    <t>Genalguacil</t>
  </si>
  <si>
    <t>Guaro</t>
  </si>
  <si>
    <t>Humilladero</t>
  </si>
  <si>
    <t>Igualeja</t>
  </si>
  <si>
    <t>Istán</t>
  </si>
  <si>
    <t>Iznate</t>
  </si>
  <si>
    <t>Jimera de Líbar</t>
  </si>
  <si>
    <t>Jubrique</t>
  </si>
  <si>
    <t>Júzcar</t>
  </si>
  <si>
    <t>Macharaviaya</t>
  </si>
  <si>
    <t>Manilva</t>
  </si>
  <si>
    <t>Marbella</t>
  </si>
  <si>
    <t>Mijas</t>
  </si>
  <si>
    <t>Moclinejo</t>
  </si>
  <si>
    <t>Mollina</t>
  </si>
  <si>
    <t>Monda</t>
  </si>
  <si>
    <t>Montejaque</t>
  </si>
  <si>
    <t>Nerja</t>
  </si>
  <si>
    <t>Ojén</t>
  </si>
  <si>
    <t>Parauta</t>
  </si>
  <si>
    <t>Periana</t>
  </si>
  <si>
    <t>Pizarra</t>
  </si>
  <si>
    <t>Pujerra</t>
  </si>
  <si>
    <t>Rincón de la Victoria</t>
  </si>
  <si>
    <t>Riogordo</t>
  </si>
  <si>
    <t>Ronda</t>
  </si>
  <si>
    <t>Salares</t>
  </si>
  <si>
    <t>Sayalonga</t>
  </si>
  <si>
    <t>Sedella</t>
  </si>
  <si>
    <t>Sierra de Yeguas</t>
  </si>
  <si>
    <t>Teba</t>
  </si>
  <si>
    <t>Tolox</t>
  </si>
  <si>
    <t>Torremolinos</t>
  </si>
  <si>
    <t>Torrox</t>
  </si>
  <si>
    <t>Totalán</t>
  </si>
  <si>
    <t>Valle de Abdalajís</t>
  </si>
  <si>
    <t>Vélez-Málaga</t>
  </si>
  <si>
    <t>Villanueva de Algaidas</t>
  </si>
  <si>
    <t>Villanueva de la Concepción</t>
  </si>
  <si>
    <t>Villanueva de Tapia</t>
  </si>
  <si>
    <t>Villanueva del Rosario</t>
  </si>
  <si>
    <t>Villanueva del Trabuco</t>
  </si>
  <si>
    <t>Viñuela</t>
  </si>
  <si>
    <t>Yunquera</t>
  </si>
  <si>
    <t>Aguadulce</t>
  </si>
  <si>
    <t>Alanís</t>
  </si>
  <si>
    <t>Albaida del Aljarafe</t>
  </si>
  <si>
    <t>Alcalá de Guadaíra</t>
  </si>
  <si>
    <t>Alcalá del Río</t>
  </si>
  <si>
    <t>Alcolea del Río</t>
  </si>
  <si>
    <t>Algaba, La</t>
  </si>
  <si>
    <t>Algámitas</t>
  </si>
  <si>
    <t>Almadén de la Plata</t>
  </si>
  <si>
    <t>Almensilla</t>
  </si>
  <si>
    <t>Arahal</t>
  </si>
  <si>
    <t>Aznalcázar</t>
  </si>
  <si>
    <t>Aznalcóllar</t>
  </si>
  <si>
    <t>Badolatosa</t>
  </si>
  <si>
    <t>Benacazón</t>
  </si>
  <si>
    <t>Bollullos de la Mitación</t>
  </si>
  <si>
    <t>Bormujos</t>
  </si>
  <si>
    <t>Brenes</t>
  </si>
  <si>
    <t>Burguillos</t>
  </si>
  <si>
    <t>Cabezas de San Juan, Las</t>
  </si>
  <si>
    <t>Camas</t>
  </si>
  <si>
    <t>Campana, La</t>
  </si>
  <si>
    <t>Cantillana</t>
  </si>
  <si>
    <t>Cañada Rosal</t>
  </si>
  <si>
    <t>Carmona</t>
  </si>
  <si>
    <t>Carrión de los Céspedes</t>
  </si>
  <si>
    <t>Casariche</t>
  </si>
  <si>
    <t>Castilblanco de los Arroyos</t>
  </si>
  <si>
    <t>Castilleja de Guzmán</t>
  </si>
  <si>
    <t>Castilleja de la Cuesta</t>
  </si>
  <si>
    <t>Castilleja del Campo</t>
  </si>
  <si>
    <t>Castillo de las Guardas, El</t>
  </si>
  <si>
    <t>Cazalla de la Sierra</t>
  </si>
  <si>
    <t>Constantina</t>
  </si>
  <si>
    <t>Coria del Río</t>
  </si>
  <si>
    <t>Coripe</t>
  </si>
  <si>
    <t>Coronil, El</t>
  </si>
  <si>
    <t>Corrales, Los</t>
  </si>
  <si>
    <t>Cuervo de Sevilla, El</t>
  </si>
  <si>
    <t>Dos Hermanas</t>
  </si>
  <si>
    <t>Écija</t>
  </si>
  <si>
    <t>Espartinas</t>
  </si>
  <si>
    <t>Estepa</t>
  </si>
  <si>
    <t>Fuentes de Andalucía</t>
  </si>
  <si>
    <t>Garrobo, El</t>
  </si>
  <si>
    <t>Gelves</t>
  </si>
  <si>
    <t>Gerena</t>
  </si>
  <si>
    <t>Gilena</t>
  </si>
  <si>
    <t>Gines</t>
  </si>
  <si>
    <t>Guadalcanal</t>
  </si>
  <si>
    <t>Guillena</t>
  </si>
  <si>
    <t>Herrera</t>
  </si>
  <si>
    <t>Huévar del Aljarafe</t>
  </si>
  <si>
    <t>Isla Mayor</t>
  </si>
  <si>
    <t>Lantejuela</t>
  </si>
  <si>
    <t>Lebrija</t>
  </si>
  <si>
    <t>Lora de Estepa</t>
  </si>
  <si>
    <t>Lora del Río</t>
  </si>
  <si>
    <t>Luisiana, La</t>
  </si>
  <si>
    <t>Madroño, El</t>
  </si>
  <si>
    <t>Mairena del Alcor</t>
  </si>
  <si>
    <t>Mairena del Aljarafe</t>
  </si>
  <si>
    <t>Marchena</t>
  </si>
  <si>
    <t>Marinaleda</t>
  </si>
  <si>
    <t>Martín de la Jara</t>
  </si>
  <si>
    <t>Molares, Los</t>
  </si>
  <si>
    <t>Montellano</t>
  </si>
  <si>
    <t>Morón de la Frontera</t>
  </si>
  <si>
    <t>Navas de la Concepción, Las</t>
  </si>
  <si>
    <t>Olivares</t>
  </si>
  <si>
    <t>Osuna</t>
  </si>
  <si>
    <t>Palacios y Villafranca, Los</t>
  </si>
  <si>
    <t>Palomares del Río</t>
  </si>
  <si>
    <t>Paradas</t>
  </si>
  <si>
    <t>Pedrera</t>
  </si>
  <si>
    <t>Pedroso, El</t>
  </si>
  <si>
    <t>Peñaflor</t>
  </si>
  <si>
    <t>Pilas</t>
  </si>
  <si>
    <t>Pruna</t>
  </si>
  <si>
    <t>Puebla de Cazalla, La</t>
  </si>
  <si>
    <t>Puebla de los Infantes, La</t>
  </si>
  <si>
    <t>Puebla del Río, La</t>
  </si>
  <si>
    <t>Real de la Jara, El</t>
  </si>
  <si>
    <t>Rinconada, La</t>
  </si>
  <si>
    <t>Roda de Andalucía, La</t>
  </si>
  <si>
    <t>Ronquillo, El</t>
  </si>
  <si>
    <t>Rubio, El</t>
  </si>
  <si>
    <t>Salteras</t>
  </si>
  <si>
    <t>San Juan de Aznalfarache</t>
  </si>
  <si>
    <t>San Nicolás del Puerto</t>
  </si>
  <si>
    <t>Sanlúcar la Mayor</t>
  </si>
  <si>
    <t>Santiponce</t>
  </si>
  <si>
    <t>Saucejo, El</t>
  </si>
  <si>
    <t>Tocina</t>
  </si>
  <si>
    <t>Tomares</t>
  </si>
  <si>
    <t>Umbrete</t>
  </si>
  <si>
    <t>Utrera</t>
  </si>
  <si>
    <t>Valencina de la Concepción</t>
  </si>
  <si>
    <t>Villamanrique de la Condesa</t>
  </si>
  <si>
    <t>Villanueva de San Juan</t>
  </si>
  <si>
    <t>Villanueva del Ariscal</t>
  </si>
  <si>
    <t>Villanueva del Río y Minas</t>
  </si>
  <si>
    <t>Villaverde del Río</t>
  </si>
  <si>
    <t>Viso del Alcor, El</t>
  </si>
  <si>
    <t>Municipio</t>
  </si>
  <si>
    <t>Num Municipios</t>
  </si>
  <si>
    <t>Municipios de la provincia</t>
  </si>
  <si>
    <t>Num</t>
  </si>
  <si>
    <t>F0</t>
  </si>
  <si>
    <t>FF</t>
  </si>
  <si>
    <t>Mun</t>
  </si>
  <si>
    <t>Tipo de edificio</t>
  </si>
  <si>
    <t>Año de construcción</t>
  </si>
  <si>
    <t>Exigencia</t>
  </si>
  <si>
    <t>Periodos</t>
  </si>
  <si>
    <t>Tipo</t>
  </si>
  <si>
    <t>Hueco</t>
  </si>
  <si>
    <t>Fachada</t>
  </si>
  <si>
    <t>Cubierta</t>
  </si>
  <si>
    <t>Suelo</t>
  </si>
  <si>
    <t>Permeab</t>
  </si>
  <si>
    <t>u</t>
  </si>
  <si>
    <t>Referencia</t>
  </si>
  <si>
    <t>1.- Vivienda unifamiliar</t>
  </si>
  <si>
    <t>2.- Vivienda en un bloque</t>
  </si>
  <si>
    <t>3.- Edificio terciario</t>
  </si>
  <si>
    <t>4.- Gran edificio terciario</t>
  </si>
  <si>
    <t>1.- Anterior a 1900</t>
  </si>
  <si>
    <t>2.- Entre 1901 y 1940 (Periodo preguerra)</t>
  </si>
  <si>
    <t>3.- Entre 1941 y 1960 (Periodo postguerra)</t>
  </si>
  <si>
    <t>4.- Entre 1961 y 1980 (Entrada en vigor MV)</t>
  </si>
  <si>
    <t>5.- Entre 1981 y 2006 (Entrada en vigor CT 79)</t>
  </si>
  <si>
    <t>6.- Entre 2007 y 2012 (Entrada CTE 07)</t>
  </si>
  <si>
    <t>7.- Posterior al 2012 (Modificacion CTE)</t>
  </si>
  <si>
    <t>Aislante</t>
  </si>
  <si>
    <t>2.- Aislante reflexivo multicapa</t>
  </si>
  <si>
    <r>
      <t>1.- Aislamiento cerámico líquido (</t>
    </r>
    <r>
      <rPr>
        <sz val="6"/>
        <color theme="1"/>
        <rFont val="Calibri"/>
        <family val="2"/>
        <scheme val="minor"/>
      </rPr>
      <t>pinturas cerámicas</t>
    </r>
    <r>
      <rPr>
        <sz val="11"/>
        <color theme="1"/>
        <rFont val="Calibri"/>
        <family val="2"/>
        <scheme val="minor"/>
      </rPr>
      <t>)</t>
    </r>
  </si>
  <si>
    <t>Conductividad
CAT-EC-v06.3_marzo_10</t>
  </si>
  <si>
    <t>Epidermis</t>
  </si>
  <si>
    <t>1.- Fachada</t>
  </si>
  <si>
    <t>2.- Cubierta o Suelo en contacto con el aire</t>
  </si>
  <si>
    <t>3.- Suelo en contacto con el terrerno</t>
  </si>
  <si>
    <t>4.- Hueco</t>
  </si>
  <si>
    <t>5.- Permeabilidad</t>
  </si>
  <si>
    <t>2.- Cubierta</t>
  </si>
  <si>
    <t>3.- Suelo</t>
  </si>
  <si>
    <t>Categoría de la actuación</t>
  </si>
  <si>
    <t>A.1.1.a</t>
  </si>
  <si>
    <t>A.1.1.b</t>
  </si>
  <si>
    <t>A.1.2.a</t>
  </si>
  <si>
    <t>A.1.2.b</t>
  </si>
  <si>
    <t>A.1.2.c</t>
  </si>
  <si>
    <t>A.1.2.d</t>
  </si>
  <si>
    <t>a) Aislamiento desde el interior.</t>
  </si>
  <si>
    <t>b) Aislamiento desde el exterior.</t>
  </si>
  <si>
    <t>a) Renovación de vidrios.</t>
  </si>
  <si>
    <t>b) Sustitución de ventanas o huecos acristalados</t>
  </si>
  <si>
    <t>c) Instalación de dobles ventanas</t>
  </si>
  <si>
    <t>d) Soluciones avanzadas de aislamiento térmico</t>
  </si>
  <si>
    <t>No adicional</t>
  </si>
  <si>
    <t>Superar al menos un 20%</t>
  </si>
  <si>
    <t>Superar al menos un 25%</t>
  </si>
  <si>
    <t>Exigencia del catálogo</t>
  </si>
  <si>
    <t>Actuación sobre:</t>
  </si>
  <si>
    <t>Carpintería empleada</t>
  </si>
  <si>
    <t>3.- Madera de baja densidad</t>
  </si>
  <si>
    <r>
      <t xml:space="preserve">1.- Metálico con R.P.T. </t>
    </r>
    <r>
      <rPr>
        <sz val="11"/>
        <color theme="1"/>
        <rFont val="Calibri"/>
        <family val="2"/>
      </rPr>
      <t>≥</t>
    </r>
    <r>
      <rPr>
        <sz val="11"/>
        <color theme="1"/>
        <rFont val="Calibri"/>
        <family val="2"/>
        <scheme val="minor"/>
      </rPr>
      <t xml:space="preserve"> 16mm</t>
    </r>
  </si>
  <si>
    <t>2.- Madera de media o alta densidad</t>
  </si>
  <si>
    <t>4.- PVC dos cámaras</t>
  </si>
  <si>
    <t>5.- PVC  tres cámaras</t>
  </si>
  <si>
    <t>6.- PVC  más de tres cámaras</t>
  </si>
  <si>
    <t>Porcentaje del marco frente al total</t>
  </si>
  <si>
    <t>1.- Corcho</t>
  </si>
  <si>
    <t>2.- Espuma celulósica</t>
  </si>
  <si>
    <t>3.- Fibra mineral</t>
  </si>
  <si>
    <t>4.- Madera</t>
  </si>
  <si>
    <t>5.- Lana de roca</t>
  </si>
  <si>
    <t>8.- Poliestireno expandido (EPS)</t>
  </si>
  <si>
    <t>7.- Lana de vidrio</t>
  </si>
  <si>
    <t>6.- Lana mineral</t>
  </si>
  <si>
    <t>9.- Poliestireno extruido</t>
  </si>
  <si>
    <t>10.- Polietileno</t>
  </si>
  <si>
    <t>11.- Poliisocianurato</t>
  </si>
  <si>
    <t>12.- Poliuretano</t>
  </si>
  <si>
    <t>13.- Poliuretano inyectado de alta densidad</t>
  </si>
  <si>
    <t>III.2. Edificios existentes de uso residencial privado (vivienda)</t>
  </si>
  <si>
    <t>Tabla III.6: Valores de referencia para edificios existentes de uso residencial privado (vivienda) y tipo unifamiliar</t>
  </si>
  <si>
    <r>
      <t>Consumo de EP</t>
    </r>
    <r>
      <rPr>
        <b/>
        <sz val="6"/>
        <color indexed="8"/>
        <rFont val="Arial"/>
        <family val="1"/>
        <charset val="204"/>
      </rPr>
      <t>nr</t>
    </r>
  </si>
  <si>
    <t>Emisiones</t>
  </si>
  <si>
    <t>Climas de la Península, Ceuta, Melilla e Islas Baleares</t>
  </si>
  <si>
    <t>Tabla III.7: Valores de referencia para edificios existentes de uso residencial privado (vivienda) y tipo en bloque</t>
  </si>
  <si>
    <t>Zona</t>
  </si>
  <si>
    <t>Demanda</t>
  </si>
  <si>
    <t>climática</t>
  </si>
  <si>
    <r>
      <t xml:space="preserve"> [kWh/m</t>
    </r>
    <r>
      <rPr>
        <b/>
        <vertAlign val="superscript"/>
        <sz val="9"/>
        <color indexed="8"/>
        <rFont val="Arial"/>
        <family val="2"/>
      </rPr>
      <t>2</t>
    </r>
    <r>
      <rPr>
        <b/>
        <sz val="9"/>
        <color indexed="8"/>
        <rFont val="Arial"/>
        <family val="1"/>
        <charset val="204"/>
      </rPr>
      <t xml:space="preserve"> · año]</t>
    </r>
  </si>
  <si>
    <r>
      <t>[kg</t>
    </r>
    <r>
      <rPr>
        <sz val="6"/>
        <color indexed="8"/>
        <rFont val="Bookman Old Style"/>
        <family val="1"/>
        <charset val="204"/>
      </rPr>
      <t>CO2e</t>
    </r>
    <r>
      <rPr>
        <i/>
        <sz val="9"/>
        <color indexed="8"/>
        <rFont val="Comic Sans MS"/>
        <family val="1"/>
        <charset val="204"/>
      </rPr>
      <t>/</t>
    </r>
    <r>
      <rPr>
        <sz val="9"/>
        <color indexed="8"/>
        <rFont val="Arial"/>
        <family val="1"/>
        <charset val="204"/>
      </rPr>
      <t>m</t>
    </r>
    <r>
      <rPr>
        <vertAlign val="superscript"/>
        <sz val="9"/>
        <color indexed="8"/>
        <rFont val="Arial"/>
        <family val="2"/>
      </rPr>
      <t>2</t>
    </r>
    <r>
      <rPr>
        <sz val="6"/>
        <color indexed="8"/>
        <rFont val="Bookman Old Style"/>
        <family val="1"/>
        <charset val="204"/>
      </rPr>
      <t xml:space="preserve"> </t>
    </r>
    <r>
      <rPr>
        <i/>
        <sz val="9"/>
        <color indexed="8"/>
        <rFont val="DejaVu Sans Condensed"/>
        <family val="1"/>
        <charset val="204"/>
      </rPr>
      <t xml:space="preserve">· </t>
    </r>
    <r>
      <rPr>
        <sz val="9"/>
        <color indexed="8"/>
        <rFont val="Arial"/>
        <family val="1"/>
        <charset val="204"/>
      </rPr>
      <t>año]</t>
    </r>
  </si>
  <si>
    <t>cal.</t>
  </si>
  <si>
    <t xml:space="preserve"> ref.</t>
  </si>
  <si>
    <t>ACS</t>
  </si>
  <si>
    <t>Coeficiente medio de reflexión (%)</t>
  </si>
  <si>
    <t>Consumo previo</t>
  </si>
  <si>
    <t>Superficie total cerramiento</t>
  </si>
  <si>
    <t>Superficie hueco</t>
  </si>
  <si>
    <t>kWh/año</t>
  </si>
  <si>
    <r>
      <t>m</t>
    </r>
    <r>
      <rPr>
        <vertAlign val="superscript"/>
        <sz val="11"/>
        <color theme="1"/>
        <rFont val="Calibri"/>
        <family val="2"/>
        <scheme val="minor"/>
      </rPr>
      <t>2</t>
    </r>
  </si>
  <si>
    <t>Reparto</t>
  </si>
  <si>
    <t>Transmitancia</t>
  </si>
  <si>
    <t>Inicial</t>
  </si>
  <si>
    <t>Final</t>
  </si>
  <si>
    <t>Ahorro</t>
  </si>
  <si>
    <t>Superficie opaca</t>
  </si>
  <si>
    <t>Aislamiento</t>
  </si>
  <si>
    <t>Reflexión</t>
  </si>
  <si>
    <t>Prop Inicial</t>
  </si>
  <si>
    <t>Efecto Global</t>
  </si>
  <si>
    <t>Eficiencia del efecto reflexivo</t>
  </si>
  <si>
    <t>CE3</t>
  </si>
  <si>
    <t>CE3x</t>
  </si>
  <si>
    <t>Los datos de la referencia provienen del CE3 v2.0.2407.1115 de 5 de septiembre de 2016, indicando zona climática, año de construcción y tipología del edificio</t>
  </si>
  <si>
    <t>El listado de soluciones de sombreamiento provienen del listado disponible del CE3X</t>
  </si>
  <si>
    <t>Como año de construcción se han identificado las siguientes opciones: 1899, 1939, 1959, 1979, 2005, 2011 y 2013</t>
  </si>
  <si>
    <t>Los tipos de edificios introducidos han sido: Vivienda Unifamiliar, Vivienda en Bloque, Pequeño o mediano terciario y Gran terciario</t>
  </si>
  <si>
    <t>Tabla III.6 y III.7</t>
  </si>
  <si>
    <t>Tablas de consumo indicadas en el documento de referencia del Ministerio Valores de referencia de las tablas III.6 y III.7
Calificación de la eficiencia energética de los edificios (Versión 1.1 nov 2015)</t>
  </si>
  <si>
    <t>Ventana de referencia</t>
  </si>
  <si>
    <t>Cristal monolítico simple con marco metálico sin rotura de puente térmico</t>
  </si>
  <si>
    <t>Ahorro kWh</t>
  </si>
  <si>
    <t>EF</t>
  </si>
  <si>
    <t>EP</t>
  </si>
  <si>
    <t>Ahorro tep</t>
  </si>
  <si>
    <t>CO2</t>
  </si>
  <si>
    <t>tonelada</t>
  </si>
  <si>
    <t>A.1.3.a</t>
  </si>
  <si>
    <t>A.1.3.b</t>
  </si>
  <si>
    <t>A.1.3.c</t>
  </si>
  <si>
    <t>a) Elementos de control solar manual</t>
  </si>
  <si>
    <t>b) Elementos de control solar automático</t>
  </si>
  <si>
    <t>c) Soluciones avanzadas con protección solar</t>
  </si>
  <si>
    <t>Elemento de sombreamiento</t>
  </si>
  <si>
    <t>Se considera que el elemento de sombreamiento posee una Gtot = 0,35 y que la transferencia térmica existente participa sólo en un 20% en el total de trasmisión de calor</t>
  </si>
  <si>
    <t>Los supuestos antes realizados están basados en la obtención de valores uy conservadores.</t>
  </si>
  <si>
    <t>Uso de material reflexivo o pintura cerámica multicapa</t>
  </si>
  <si>
    <t>Estos materiales actúan fomentando el efecto reflexivo de la radiación incidente haciendo que en lugar de refractarse el rallo pasando al interior del cerramiento este sea reflejado. Además incluyen un efecto sobre la rotura de la conducción al incluir burbujas de vacio o de aire que ofrecen resistencia a la trasmisión de calor.</t>
  </si>
  <si>
    <t>Se considera que la sombra sólo afecta a la superficie acristalada</t>
  </si>
  <si>
    <t>El efecto conjugado de ambos mecanismos es difícilmente cuantificable con lo que se ha tomado una decisión conservadora asumiendo que sólo el 20% de la capacidad transmisión térmica se ve afectada por la introducción de este tipo de material</t>
  </si>
  <si>
    <t>Condiciones específicas</t>
  </si>
  <si>
    <t>Valor Referencia</t>
  </si>
  <si>
    <t>Comprueba que se cumplen parte de las condiciones técnicas requeridas para tu actuación incentivable. Además, conoce el ahorro energético como consecuencía de dicha actuación.</t>
  </si>
  <si>
    <t>C. Calefacción
[kWh/m2 año]</t>
  </si>
  <si>
    <t>C. Refrigeración
[kWh/m2 año]</t>
  </si>
  <si>
    <t>Espesor (mm)</t>
  </si>
  <si>
    <t>Conductividad [W/ mK]</t>
  </si>
  <si>
    <t>Transmitancia aislante
[W/ m²K]</t>
  </si>
  <si>
    <t>Actuación en:</t>
  </si>
  <si>
    <t>Resistencia térmica
[m²K / W]</t>
  </si>
  <si>
    <t>Resistencia Global
[m²K / W]</t>
  </si>
  <si>
    <t>Transmitancia marco
[W/ m²K]</t>
  </si>
  <si>
    <t>Trans. acristalamiento
[W/ m²K]</t>
  </si>
  <si>
    <t>Transmitancia global cerramiento
[W/ m²K]</t>
  </si>
  <si>
    <t>Transmitancia global del hueco
[W/ m²K]</t>
  </si>
  <si>
    <r>
      <t>U</t>
    </r>
    <r>
      <rPr>
        <vertAlign val="subscript"/>
        <sz val="12"/>
        <rFont val="NewsGotT"/>
      </rPr>
      <t xml:space="preserve">fachada
</t>
    </r>
    <r>
      <rPr>
        <sz val="12"/>
        <rFont val="NewsGotT"/>
      </rPr>
      <t>[W/ m</t>
    </r>
    <r>
      <rPr>
        <vertAlign val="superscript"/>
        <sz val="12"/>
        <rFont val="NewsGotT"/>
      </rPr>
      <t>2</t>
    </r>
    <r>
      <rPr>
        <sz val="12"/>
        <rFont val="NewsGotT"/>
      </rPr>
      <t>K]</t>
    </r>
  </si>
  <si>
    <r>
      <t>U</t>
    </r>
    <r>
      <rPr>
        <vertAlign val="subscript"/>
        <sz val="12"/>
        <rFont val="NewsGotT"/>
      </rPr>
      <t xml:space="preserve">cubierta,suelo aire
</t>
    </r>
    <r>
      <rPr>
        <sz val="12"/>
        <rFont val="NewsGotT"/>
      </rPr>
      <t>[W/ m</t>
    </r>
    <r>
      <rPr>
        <vertAlign val="superscript"/>
        <sz val="12"/>
        <rFont val="NewsGotT"/>
      </rPr>
      <t>2</t>
    </r>
    <r>
      <rPr>
        <sz val="12"/>
        <rFont val="NewsGotT"/>
      </rPr>
      <t>K]</t>
    </r>
  </si>
  <si>
    <r>
      <t>U</t>
    </r>
    <r>
      <rPr>
        <vertAlign val="subscript"/>
        <sz val="12"/>
        <rFont val="NewsGotT"/>
      </rPr>
      <t xml:space="preserve">suelo terreno
</t>
    </r>
    <r>
      <rPr>
        <sz val="12"/>
        <rFont val="NewsGotT"/>
      </rPr>
      <t>[W/m</t>
    </r>
    <r>
      <rPr>
        <vertAlign val="superscript"/>
        <sz val="12"/>
        <rFont val="NewsGotT"/>
      </rPr>
      <t>2</t>
    </r>
    <r>
      <rPr>
        <sz val="12"/>
        <rFont val="NewsGotT"/>
      </rPr>
      <t>K]</t>
    </r>
  </si>
  <si>
    <r>
      <t>U</t>
    </r>
    <r>
      <rPr>
        <vertAlign val="subscript"/>
        <sz val="12"/>
        <rFont val="NewsGotT"/>
      </rPr>
      <t xml:space="preserve">huecos
</t>
    </r>
    <r>
      <rPr>
        <sz val="12"/>
        <rFont val="NewsGotT"/>
      </rPr>
      <t>[W/ m</t>
    </r>
    <r>
      <rPr>
        <vertAlign val="superscript"/>
        <sz val="12"/>
        <rFont val="NewsGotT"/>
      </rPr>
      <t>2</t>
    </r>
    <r>
      <rPr>
        <sz val="12"/>
        <rFont val="NewsGotT"/>
      </rPr>
      <t>K]</t>
    </r>
  </si>
  <si>
    <r>
      <t>Permeabilidad al aire de huecos 
[m</t>
    </r>
    <r>
      <rPr>
        <vertAlign val="superscript"/>
        <sz val="12"/>
        <rFont val="NewsGotT"/>
      </rPr>
      <t>3</t>
    </r>
    <r>
      <rPr>
        <sz val="12"/>
        <rFont val="NewsGotT"/>
      </rPr>
      <t>/h m</t>
    </r>
    <r>
      <rPr>
        <vertAlign val="superscript"/>
        <sz val="12"/>
        <rFont val="NewsGotT"/>
      </rPr>
      <t>2</t>
    </r>
    <r>
      <rPr>
        <sz val="12"/>
        <rFont val="NewsGotT"/>
      </rPr>
      <t>]</t>
    </r>
  </si>
  <si>
    <r>
      <t>Superficie útil del espacio sobre el que se va a actuar [m</t>
    </r>
    <r>
      <rPr>
        <vertAlign val="superscript"/>
        <sz val="12"/>
        <rFont val="NewsGotT"/>
      </rPr>
      <t>2</t>
    </r>
    <r>
      <rPr>
        <sz val="12"/>
        <rFont val="NewsGotT"/>
      </rPr>
      <t xml:space="preserve">] </t>
    </r>
  </si>
  <si>
    <r>
      <t>Sup. total del cerramiento exterior [m</t>
    </r>
    <r>
      <rPr>
        <vertAlign val="superscript"/>
        <sz val="12"/>
        <rFont val="NewsGotT"/>
      </rPr>
      <t>2</t>
    </r>
    <r>
      <rPr>
        <sz val="12"/>
        <rFont val="NewsGotT"/>
      </rPr>
      <t>]</t>
    </r>
  </si>
  <si>
    <r>
      <t>Sup. total de cerramientos  en los que se ha intervenido con aislamiento [m</t>
    </r>
    <r>
      <rPr>
        <vertAlign val="superscript"/>
        <sz val="12"/>
        <rFont val="NewsGotT"/>
      </rPr>
      <t>2</t>
    </r>
    <r>
      <rPr>
        <sz val="12"/>
        <rFont val="NewsGotT"/>
      </rPr>
      <t>]</t>
    </r>
  </si>
  <si>
    <r>
      <t>Sup. total de los huecos en los que se ha intervenido [m</t>
    </r>
    <r>
      <rPr>
        <vertAlign val="superscript"/>
        <sz val="12"/>
        <rFont val="NewsGotT"/>
      </rPr>
      <t>2</t>
    </r>
    <r>
      <rPr>
        <sz val="12"/>
        <rFont val="NewsGotT"/>
      </rPr>
      <t>]</t>
    </r>
  </si>
  <si>
    <r>
      <t>C. Calef. y Refrig.
[kWh/m</t>
    </r>
    <r>
      <rPr>
        <vertAlign val="superscript"/>
        <sz val="12"/>
        <rFont val="NewsGotT"/>
      </rPr>
      <t>2</t>
    </r>
    <r>
      <rPr>
        <sz val="12"/>
        <rFont val="NewsGotT"/>
      </rPr>
      <t xml:space="preserve"> año]</t>
    </r>
  </si>
  <si>
    <t>Categoría de actuación:</t>
  </si>
  <si>
    <t>Rellena las celdas de color blanco. Las celdas de color azul muestran el resultado. Las celdas de color naranja muestran parámetros editables por parte del usuario utilizados para el cálculo del resultado.</t>
  </si>
  <si>
    <t>Superficie del elemento generador del sombreamiento [m²]</t>
  </si>
  <si>
    <t>F</t>
  </si>
  <si>
    <t>G</t>
  </si>
  <si>
    <t>Zona Climática</t>
  </si>
  <si>
    <r>
      <t>Consumo de EP
[kWh/m</t>
    </r>
    <r>
      <rPr>
        <vertAlign val="superscript"/>
        <sz val="11"/>
        <color theme="1"/>
        <rFont val="Calibri"/>
        <family val="2"/>
        <scheme val="minor"/>
      </rPr>
      <t>2</t>
    </r>
    <r>
      <rPr>
        <sz val="11"/>
        <color theme="1"/>
        <rFont val="Calibri"/>
        <family val="2"/>
        <scheme val="minor"/>
      </rPr>
      <t xml:space="preserve"> año]</t>
    </r>
  </si>
  <si>
    <r>
      <t>Emisiones
[kg</t>
    </r>
    <r>
      <rPr>
        <vertAlign val="subscript"/>
        <sz val="11"/>
        <color theme="1"/>
        <rFont val="Calibri"/>
        <family val="2"/>
        <scheme val="minor"/>
      </rPr>
      <t>CO2</t>
    </r>
    <r>
      <rPr>
        <sz val="11"/>
        <color theme="1"/>
        <rFont val="Calibri"/>
        <family val="2"/>
        <scheme val="minor"/>
      </rPr>
      <t>/m</t>
    </r>
    <r>
      <rPr>
        <vertAlign val="superscript"/>
        <sz val="11"/>
        <color theme="1"/>
        <rFont val="Calibri"/>
        <family val="2"/>
        <scheme val="minor"/>
      </rPr>
      <t>2</t>
    </r>
    <r>
      <rPr>
        <sz val="11"/>
        <color theme="1"/>
        <rFont val="Calibri"/>
        <family val="2"/>
        <scheme val="minor"/>
      </rPr>
      <t xml:space="preserve"> año]</t>
    </r>
  </si>
  <si>
    <t>Tabla IV.4: Calificación de la eficiencia energética de los edificios 2015</t>
  </si>
  <si>
    <t>1: Viviendas unifamiliares peninsulares</t>
  </si>
  <si>
    <t>2: Viviendas plurifamiliares peninsulares</t>
  </si>
  <si>
    <t>3: Edificios destinados a  usos distintos del residencial privado (vivienda)</t>
  </si>
  <si>
    <t>Tabla 2: Calificación energética e índices para edificios de uso distinto al residencial privado (vivienda)</t>
  </si>
  <si>
    <t>"C" Cociente entre valor del indicador para el edificio a certificar y el valor del indicador para el edificio de referencia</t>
  </si>
  <si>
    <t>Zona climática de Málaga</t>
  </si>
  <si>
    <t xml:space="preserve">Dado que en la publicación del CTE se indica, en función de la altura y provincia la zona climática utilizamos ese valor. En el caso de Málaga por lo tanto, corresponde una zona climática B3 en todos aquellos municipios en los que la altura sea inferior a 300 metros. </t>
  </si>
  <si>
    <t>Tramitancia</t>
  </si>
  <si>
    <t>Gtot</t>
  </si>
  <si>
    <t>Eficiencia del efecto de sombreamiento</t>
  </si>
  <si>
    <t>Consumo previo para refrigeración [kWh/año]</t>
  </si>
  <si>
    <t>Consumo posterior para refrigeración [kWh/año]</t>
  </si>
  <si>
    <t>Superficie acristalada afectada por la actuación de sombreamiento [m²]</t>
  </si>
  <si>
    <t>Consumo inicial de Energía Primaria en el espacio o recinto sobre el que se va actuar  [kWh/año]</t>
  </si>
  <si>
    <t>% de reducción del consumo relacionado con la superficie sobre la que se actúa</t>
  </si>
  <si>
    <t>Transmitancia modificada</t>
  </si>
  <si>
    <t>Sólo afecta a la zona de sombra</t>
  </si>
  <si>
    <t>Transmitancia afectada</t>
  </si>
  <si>
    <t>Rendimiento del mix de generación andaluz</t>
  </si>
  <si>
    <t>Ahorro de energía final (E.F.)
[kWh/año]</t>
  </si>
  <si>
    <t>Ahorro de energía primaria (E.P.)
[kWh/año]</t>
  </si>
  <si>
    <t>Consumo previo de E.P. relacionado con las superficies objeto de la intervención [kWh/año]</t>
  </si>
  <si>
    <t>Consumo posterior de E.P. relacionado con las superficies objeto de la intervención [kWh/año]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</si>
</sst>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
    <numFmt numFmtId="166" formatCode="0.000"/>
    <numFmt numFmtId="167" formatCode="0.0%"/>
    <numFmt numFmtId="168" formatCode="###0.00;###0.00"/>
    <numFmt numFmtId="169" formatCode="0.000000"/>
  </numFmts>
  <fonts count="41" x14ac:knownFonts="1">
    <font>
      <sz val="11"/>
      <color theme="1"/>
      <name val="Calibri"/>
      <family val="2"/>
      <scheme val="minor"/>
    </font>
    <font>
      <b/>
      <sz val="11"/>
      <color theme="1"/>
      <name val="Calibri"/>
      <family val="2"/>
      <scheme val="minor"/>
    </font>
    <font>
      <b/>
      <sz val="14"/>
      <color indexed="8"/>
      <name val="Calibri"/>
      <family val="1"/>
      <charset val="204"/>
    </font>
    <font>
      <sz val="14"/>
      <color theme="1"/>
      <name val="Calibri"/>
      <family val="2"/>
      <scheme val="minor"/>
    </font>
    <font>
      <sz val="14"/>
      <color indexed="8"/>
      <name val="Calibri"/>
      <family val="1"/>
      <charset val="204"/>
    </font>
    <font>
      <sz val="14"/>
      <color indexed="8"/>
      <name val="Arial"/>
      <family val="2"/>
    </font>
    <font>
      <sz val="14"/>
      <name val="Times New Roman"/>
      <family val="1"/>
      <charset val="204"/>
    </font>
    <font>
      <b/>
      <sz val="10"/>
      <color theme="4" tint="-0.249977111117893"/>
      <name val="Arial"/>
      <family val="2"/>
    </font>
    <font>
      <sz val="10"/>
      <name val="Arial"/>
      <family val="2"/>
    </font>
    <font>
      <sz val="6"/>
      <color theme="1"/>
      <name val="Calibri"/>
      <family val="2"/>
      <scheme val="minor"/>
    </font>
    <font>
      <sz val="11"/>
      <color theme="1"/>
      <name val="Calibri"/>
      <family val="2"/>
      <scheme val="minor"/>
    </font>
    <font>
      <sz val="11"/>
      <color theme="1"/>
      <name val="Calibri"/>
      <family val="2"/>
    </font>
    <font>
      <sz val="10"/>
      <name val="Times New Roman"/>
      <family val="1"/>
      <charset val="204"/>
    </font>
    <font>
      <sz val="9"/>
      <color indexed="8"/>
      <name val="Arial"/>
      <family val="2"/>
    </font>
    <font>
      <b/>
      <sz val="9"/>
      <color indexed="8"/>
      <name val="Arial"/>
      <family val="1"/>
      <charset val="204"/>
    </font>
    <font>
      <b/>
      <sz val="6"/>
      <color indexed="8"/>
      <name val="Arial"/>
      <family val="1"/>
      <charset val="204"/>
    </font>
    <font>
      <i/>
      <sz val="9"/>
      <color indexed="8"/>
      <name val="Comic Sans MS"/>
      <family val="1"/>
      <charset val="204"/>
    </font>
    <font>
      <sz val="9"/>
      <color indexed="8"/>
      <name val="Arial"/>
      <family val="1"/>
      <charset val="204"/>
    </font>
    <font>
      <sz val="6"/>
      <color indexed="8"/>
      <name val="Bookman Old Style"/>
      <family val="1"/>
      <charset val="204"/>
    </font>
    <font>
      <i/>
      <sz val="9"/>
      <color indexed="8"/>
      <name val="DejaVu Sans Condensed"/>
      <family val="1"/>
      <charset val="204"/>
    </font>
    <font>
      <i/>
      <sz val="9"/>
      <color indexed="8"/>
      <name val="Arial"/>
      <family val="1"/>
      <charset val="204"/>
    </font>
    <font>
      <b/>
      <vertAlign val="superscript"/>
      <sz val="9"/>
      <color indexed="8"/>
      <name val="Arial"/>
      <family val="2"/>
    </font>
    <font>
      <vertAlign val="superscript"/>
      <sz val="9"/>
      <color indexed="8"/>
      <name val="Arial"/>
      <family val="2"/>
    </font>
    <font>
      <vertAlign val="superscript"/>
      <sz val="11"/>
      <color theme="1"/>
      <name val="Calibri"/>
      <family val="2"/>
      <scheme val="minor"/>
    </font>
    <font>
      <sz val="12"/>
      <color theme="1"/>
      <name val="NewsGotT"/>
    </font>
    <font>
      <sz val="12"/>
      <color theme="0"/>
      <name val="NewsGotT"/>
    </font>
    <font>
      <sz val="12"/>
      <name val="NewsGotT"/>
    </font>
    <font>
      <b/>
      <sz val="12"/>
      <color indexed="81"/>
      <name val="NewsGotT"/>
    </font>
    <font>
      <sz val="12"/>
      <color indexed="81"/>
      <name val="NewsGotT"/>
    </font>
    <font>
      <u/>
      <sz val="11"/>
      <color theme="10"/>
      <name val="Calibri"/>
      <family val="2"/>
      <scheme val="minor"/>
    </font>
    <font>
      <b/>
      <sz val="30"/>
      <name val="NewsGotT"/>
    </font>
    <font>
      <u/>
      <sz val="11"/>
      <name val="Calibri"/>
      <family val="2"/>
      <scheme val="minor"/>
    </font>
    <font>
      <vertAlign val="subscript"/>
      <sz val="12"/>
      <name val="NewsGotT"/>
    </font>
    <font>
      <vertAlign val="superscript"/>
      <sz val="12"/>
      <name val="NewsGotT"/>
    </font>
    <font>
      <vertAlign val="subscript"/>
      <sz val="11"/>
      <color theme="1"/>
      <name val="Calibri"/>
      <family val="2"/>
      <scheme val="minor"/>
    </font>
    <font>
      <sz val="18"/>
      <color theme="1"/>
      <name val="Calibri"/>
      <family val="2"/>
      <scheme val="minor"/>
    </font>
    <font>
      <sz val="72"/>
      <color theme="1"/>
      <name val="Calibri"/>
      <family val="2"/>
      <scheme val="minor"/>
    </font>
    <font>
      <sz val="20"/>
      <color theme="1"/>
      <name val="Calibri"/>
      <family val="2"/>
      <scheme val="minor"/>
    </font>
    <font>
      <sz val="18"/>
      <color indexed="8"/>
      <name val="Calibri"/>
      <family val="1"/>
      <charset val="204"/>
    </font>
    <font>
      <sz val="18"/>
      <color theme="1"/>
      <name val="Calibri"/>
      <family val="1"/>
      <charset val="204"/>
      <scheme val="minor"/>
    </font>
    <font>
      <b/>
      <sz val="11"/>
      <color theme="0"/>
      <name val="Calibri"/>
      <family val="2"/>
      <scheme val="minor"/>
    </font>
  </fonts>
  <fills count="20">
    <fill>
      <patternFill patternType="none"/>
    </fill>
    <fill>
      <patternFill patternType="gray125"/>
    </fill>
    <fill>
      <patternFill patternType="solid">
        <fgColor rgb="FFC9C9C9"/>
        <bgColor indexed="64"/>
      </patternFill>
    </fill>
    <fill>
      <patternFill patternType="solid">
        <fgColor rgb="FFD2D2D2"/>
        <bgColor indexed="64"/>
      </patternFill>
    </fill>
    <fill>
      <patternFill patternType="solid">
        <fgColor rgb="FFB5B5B5"/>
        <bgColor indexed="64"/>
      </patternFill>
    </fill>
    <fill>
      <patternFill patternType="solid">
        <fgColor rgb="FFFFFF00"/>
        <bgColor indexed="64"/>
      </patternFill>
    </fill>
    <fill>
      <patternFill patternType="solid">
        <fgColor rgb="FFFF9F5D"/>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6CA6C4"/>
        <bgColor indexed="64"/>
      </patternFill>
    </fill>
    <fill>
      <patternFill patternType="solid">
        <fgColor rgb="FFDAF8C4"/>
        <bgColor indexed="64"/>
      </patternFill>
    </fill>
    <fill>
      <patternFill patternType="solid">
        <fgColor rgb="FFFFE285"/>
        <bgColor indexed="64"/>
      </patternFill>
    </fill>
    <fill>
      <patternFill patternType="solid">
        <fgColor theme="4" tint="0.59999389629810485"/>
        <bgColor indexed="64"/>
      </patternFill>
    </fill>
    <fill>
      <patternFill patternType="solid">
        <fgColor rgb="FFDEE7F2"/>
        <bgColor indexed="64"/>
      </patternFill>
    </fill>
    <fill>
      <patternFill patternType="solid">
        <fgColor rgb="FFA5A5A5"/>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indexed="64"/>
      </top>
      <bottom style="medium">
        <color indexed="64"/>
      </bottom>
      <diagonal/>
    </border>
    <border>
      <left style="double">
        <color auto="1"/>
      </left>
      <right style="thin">
        <color theme="0" tint="-0.24994659260841701"/>
      </right>
      <top style="double">
        <color auto="1"/>
      </top>
      <bottom style="thin">
        <color theme="0" tint="-0.24994659260841701"/>
      </bottom>
      <diagonal/>
    </border>
    <border>
      <left style="thin">
        <color theme="0" tint="-0.24994659260841701"/>
      </left>
      <right style="thin">
        <color theme="0" tint="-0.24994659260841701"/>
      </right>
      <top style="double">
        <color auto="1"/>
      </top>
      <bottom style="thin">
        <color theme="0" tint="-0.24994659260841701"/>
      </bottom>
      <diagonal/>
    </border>
    <border>
      <left style="thin">
        <color theme="0" tint="-0.24994659260841701"/>
      </left>
      <right style="double">
        <color auto="1"/>
      </right>
      <top style="double">
        <color auto="1"/>
      </top>
      <bottom style="thin">
        <color theme="0" tint="-0.24994659260841701"/>
      </bottom>
      <diagonal/>
    </border>
    <border>
      <left style="double">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double">
        <color auto="1"/>
      </right>
      <top style="thin">
        <color theme="0" tint="-0.24994659260841701"/>
      </top>
      <bottom style="thin">
        <color theme="0" tint="-0.24994659260841701"/>
      </bottom>
      <diagonal/>
    </border>
    <border>
      <left style="double">
        <color auto="1"/>
      </left>
      <right style="thin">
        <color theme="0" tint="-0.24994659260841701"/>
      </right>
      <top style="thin">
        <color theme="0" tint="-0.24994659260841701"/>
      </top>
      <bottom style="double">
        <color theme="1"/>
      </bottom>
      <diagonal/>
    </border>
    <border>
      <left style="thin">
        <color theme="0" tint="-0.24994659260841701"/>
      </left>
      <right style="thin">
        <color theme="0" tint="-0.24994659260841701"/>
      </right>
      <top style="thin">
        <color theme="0" tint="-0.24994659260841701"/>
      </top>
      <bottom style="double">
        <color theme="1"/>
      </bottom>
      <diagonal/>
    </border>
    <border>
      <left style="thin">
        <color theme="0" tint="-0.24994659260841701"/>
      </left>
      <right style="double">
        <color auto="1"/>
      </right>
      <top style="thin">
        <color theme="0" tint="-0.24994659260841701"/>
      </top>
      <bottom style="double">
        <color theme="1"/>
      </bottom>
      <diagonal/>
    </border>
    <border>
      <left/>
      <right/>
      <top style="thin">
        <color rgb="FF000000"/>
      </top>
      <bottom/>
      <diagonal/>
    </border>
    <border>
      <left/>
      <right/>
      <top/>
      <bottom style="thin">
        <color rgb="FF000000"/>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s>
  <cellStyleXfs count="4">
    <xf numFmtId="0" fontId="0" fillId="0" borderId="0"/>
    <xf numFmtId="9" fontId="10" fillId="0" borderId="0" applyFont="0" applyFill="0" applyBorder="0" applyAlignment="0" applyProtection="0"/>
    <xf numFmtId="0" fontId="29" fillId="0" borderId="0" applyNumberFormat="0" applyFill="0" applyBorder="0" applyAlignment="0" applyProtection="0"/>
    <xf numFmtId="0" fontId="40" fillId="19" borderId="34" applyNumberFormat="0" applyAlignment="0" applyProtection="0"/>
  </cellStyleXfs>
  <cellXfs count="184">
    <xf numFmtId="0" fontId="0" fillId="0" borderId="0" xfId="0"/>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3" fillId="0" borderId="0" xfId="0" applyFont="1" applyAlignment="1">
      <alignmen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164" fontId="5" fillId="2" borderId="1" xfId="0" applyNumberFormat="1" applyFont="1" applyFill="1" applyBorder="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4" fillId="4" borderId="1" xfId="0"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4" fillId="4" borderId="2" xfId="0" applyFont="1" applyFill="1" applyBorder="1" applyAlignment="1">
      <alignment vertical="center"/>
    </xf>
    <xf numFmtId="0" fontId="3" fillId="5" borderId="0" xfId="0" applyFont="1" applyFill="1" applyAlignment="1">
      <alignment vertical="center"/>
    </xf>
    <xf numFmtId="0" fontId="6" fillId="0" borderId="1" xfId="0" applyFont="1" applyBorder="1"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xf>
    <xf numFmtId="1" fontId="7" fillId="0" borderId="5" xfId="0" applyNumberFormat="1" applyFont="1" applyBorder="1" applyAlignment="1">
      <alignment vertical="center"/>
    </xf>
    <xf numFmtId="3" fontId="7" fillId="0" borderId="5" xfId="0" applyNumberFormat="1" applyFont="1" applyBorder="1" applyAlignment="1">
      <alignment horizontal="right" vertical="center"/>
    </xf>
    <xf numFmtId="1" fontId="0" fillId="0" borderId="0" xfId="0" applyNumberFormat="1" applyAlignment="1">
      <alignment vertical="center"/>
    </xf>
    <xf numFmtId="1" fontId="8" fillId="0" borderId="0" xfId="0" applyNumberFormat="1" applyFont="1" applyAlignment="1">
      <alignment vertical="center"/>
    </xf>
    <xf numFmtId="3" fontId="7" fillId="0" borderId="5" xfId="0" applyNumberFormat="1" applyFont="1" applyBorder="1" applyAlignment="1">
      <alignment horizontal="left" vertical="center"/>
    </xf>
    <xf numFmtId="3" fontId="7" fillId="0" borderId="5" xfId="0" applyNumberFormat="1" applyFont="1" applyBorder="1" applyAlignment="1">
      <alignment horizontal="center" vertical="center"/>
    </xf>
    <xf numFmtId="1" fontId="0" fillId="0" borderId="0" xfId="0" applyNumberFormat="1" applyAlignment="1">
      <alignment horizontal="center" vertical="center"/>
    </xf>
    <xf numFmtId="1" fontId="8" fillId="0" borderId="0" xfId="0" applyNumberFormat="1" applyFont="1" applyAlignment="1">
      <alignment horizontal="center" vertical="center"/>
    </xf>
    <xf numFmtId="0" fontId="0" fillId="6" borderId="6" xfId="0" applyFill="1" applyBorder="1" applyAlignment="1">
      <alignment horizontal="center" vertical="center"/>
    </xf>
    <xf numFmtId="1" fontId="0" fillId="7" borderId="7" xfId="0" applyNumberFormat="1"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8" borderId="9" xfId="0" applyFill="1" applyBorder="1" applyAlignment="1">
      <alignment horizontal="center" vertical="center"/>
    </xf>
    <xf numFmtId="2" fontId="0" fillId="0" borderId="10" xfId="0" applyNumberFormat="1" applyBorder="1" applyAlignment="1">
      <alignment horizontal="center" vertical="center"/>
    </xf>
    <xf numFmtId="2" fontId="0" fillId="0" borderId="11" xfId="0" applyNumberFormat="1" applyBorder="1" applyAlignment="1">
      <alignment horizontal="center" vertical="center"/>
    </xf>
    <xf numFmtId="2" fontId="0" fillId="9" borderId="10" xfId="0" applyNumberFormat="1" applyFill="1" applyBorder="1" applyAlignment="1">
      <alignment horizontal="center" vertical="center"/>
    </xf>
    <xf numFmtId="2" fontId="0" fillId="9" borderId="11" xfId="0" applyNumberFormat="1" applyFill="1" applyBorder="1" applyAlignment="1">
      <alignment horizontal="center" vertical="center"/>
    </xf>
    <xf numFmtId="0" fontId="0" fillId="8" borderId="12" xfId="0"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vertical="center" wrapText="1"/>
    </xf>
    <xf numFmtId="0" fontId="0" fillId="10" borderId="0" xfId="0" applyFill="1" applyAlignment="1">
      <alignment vertical="center"/>
    </xf>
    <xf numFmtId="165"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center" vertical="center"/>
    </xf>
    <xf numFmtId="0" fontId="20" fillId="0" borderId="0" xfId="0" applyFont="1" applyAlignment="1">
      <alignment horizontal="left" vertical="center"/>
    </xf>
    <xf numFmtId="0" fontId="17" fillId="0" borderId="0" xfId="0" applyFont="1" applyAlignment="1">
      <alignment horizontal="center" vertical="center" wrapText="1"/>
    </xf>
    <xf numFmtId="0" fontId="17" fillId="0" borderId="16" xfId="0" applyFont="1" applyBorder="1" applyAlignment="1">
      <alignment horizontal="center" vertical="center" wrapText="1"/>
    </xf>
    <xf numFmtId="0" fontId="14" fillId="0" borderId="0" xfId="0" applyFont="1" applyAlignment="1">
      <alignment horizontal="left" vertical="center"/>
    </xf>
    <xf numFmtId="0" fontId="14" fillId="0" borderId="15" xfId="0"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7" fillId="0" borderId="0" xfId="0" applyFont="1" applyBorder="1" applyAlignment="1">
      <alignment horizontal="center" vertical="center" wrapText="1"/>
    </xf>
    <xf numFmtId="0" fontId="0" fillId="0" borderId="17" xfId="0" applyBorder="1" applyAlignment="1">
      <alignment horizontal="center" vertical="center"/>
    </xf>
    <xf numFmtId="0" fontId="17" fillId="0" borderId="17" xfId="0" applyFont="1" applyBorder="1" applyAlignment="1">
      <alignment horizontal="center" vertical="center" wrapText="1"/>
    </xf>
    <xf numFmtId="0" fontId="17" fillId="0" borderId="15" xfId="0" applyFont="1" applyBorder="1" applyAlignment="1">
      <alignment horizontal="center" vertical="center" wrapText="1"/>
    </xf>
    <xf numFmtId="168" fontId="13" fillId="0" borderId="15" xfId="0" applyNumberFormat="1" applyFont="1" applyBorder="1" applyAlignment="1">
      <alignment horizontal="center" vertical="center" wrapText="1"/>
    </xf>
    <xf numFmtId="168" fontId="13" fillId="0" borderId="0" xfId="0" applyNumberFormat="1" applyFont="1" applyAlignment="1">
      <alignment horizontal="center" vertical="center" wrapText="1"/>
    </xf>
    <xf numFmtId="168" fontId="13" fillId="0" borderId="16" xfId="0" applyNumberFormat="1" applyFont="1" applyBorder="1" applyAlignment="1">
      <alignment horizontal="center" vertical="center" wrapText="1"/>
    </xf>
    <xf numFmtId="0" fontId="0" fillId="0" borderId="0" xfId="0" applyAlignment="1">
      <alignment horizontal="left" vertical="center"/>
    </xf>
    <xf numFmtId="4" fontId="0" fillId="0" borderId="0" xfId="0" applyNumberFormat="1" applyAlignment="1">
      <alignment vertical="center"/>
    </xf>
    <xf numFmtId="4" fontId="0" fillId="0" borderId="0" xfId="0" applyNumberFormat="1" applyAlignment="1">
      <alignment horizontal="center" vertical="center"/>
    </xf>
    <xf numFmtId="9" fontId="0" fillId="5" borderId="0" xfId="0" applyNumberFormat="1" applyFill="1" applyAlignment="1">
      <alignment horizontal="center" vertical="center"/>
    </xf>
    <xf numFmtId="0" fontId="0" fillId="0" borderId="0" xfId="0" applyAlignment="1">
      <alignment horizontal="right" vertical="center"/>
    </xf>
    <xf numFmtId="4" fontId="0" fillId="10" borderId="0" xfId="0" applyNumberFormat="1" applyFill="1" applyAlignment="1">
      <alignment vertical="center"/>
    </xf>
    <xf numFmtId="4" fontId="0" fillId="12" borderId="0" xfId="0" applyNumberFormat="1" applyFill="1" applyAlignment="1">
      <alignment horizontal="center" vertical="center"/>
    </xf>
    <xf numFmtId="4" fontId="0" fillId="13" borderId="0" xfId="0" applyNumberFormat="1" applyFill="1" applyAlignment="1">
      <alignment horizontal="center" vertical="center"/>
    </xf>
    <xf numFmtId="9" fontId="0" fillId="0" borderId="0" xfId="0" applyNumberFormat="1" applyAlignment="1">
      <alignment vertical="center" wrapText="1"/>
    </xf>
    <xf numFmtId="0" fontId="24" fillId="11" borderId="0" xfId="0" applyFont="1" applyFill="1" applyAlignment="1" applyProtection="1">
      <alignment vertical="center"/>
    </xf>
    <xf numFmtId="0" fontId="24" fillId="0" borderId="0" xfId="0" applyFont="1" applyAlignment="1" applyProtection="1">
      <alignment vertical="center"/>
    </xf>
    <xf numFmtId="0" fontId="24" fillId="11" borderId="0" xfId="0" applyFont="1" applyFill="1" applyBorder="1" applyAlignment="1" applyProtection="1">
      <alignment vertical="center"/>
    </xf>
    <xf numFmtId="0" fontId="26" fillId="11" borderId="0" xfId="0" applyFont="1" applyFill="1" applyAlignment="1" applyProtection="1">
      <alignment vertical="center"/>
    </xf>
    <xf numFmtId="0" fontId="26" fillId="0" borderId="0" xfId="0" applyFont="1" applyAlignment="1" applyProtection="1">
      <alignment vertical="center"/>
    </xf>
    <xf numFmtId="0" fontId="25" fillId="5" borderId="0" xfId="0" applyFont="1" applyFill="1" applyAlignment="1" applyProtection="1">
      <alignment vertical="center"/>
    </xf>
    <xf numFmtId="0" fontId="24" fillId="5" borderId="0" xfId="0" applyFont="1" applyFill="1" applyAlignment="1" applyProtection="1">
      <alignment vertical="center"/>
    </xf>
    <xf numFmtId="0" fontId="26" fillId="0" borderId="18" xfId="0" applyFont="1" applyBorder="1" applyAlignment="1" applyProtection="1">
      <alignment horizontal="center" vertical="center"/>
      <protection locked="0"/>
    </xf>
    <xf numFmtId="4" fontId="26" fillId="11" borderId="18" xfId="0" applyNumberFormat="1" applyFont="1" applyFill="1" applyBorder="1" applyAlignment="1" applyProtection="1">
      <alignment horizontal="center" vertical="center" wrapText="1"/>
      <protection locked="0"/>
    </xf>
    <xf numFmtId="0" fontId="24" fillId="14" borderId="18" xfId="0" applyFont="1" applyFill="1" applyBorder="1" applyAlignment="1" applyProtection="1">
      <alignment horizontal="center" vertical="center"/>
    </xf>
    <xf numFmtId="2" fontId="24" fillId="14" borderId="18" xfId="0" applyNumberFormat="1" applyFont="1" applyFill="1" applyBorder="1" applyAlignment="1" applyProtection="1">
      <alignment horizontal="center" vertical="center"/>
    </xf>
    <xf numFmtId="2" fontId="26" fillId="14" borderId="23" xfId="0" applyNumberFormat="1" applyFont="1" applyFill="1" applyBorder="1" applyAlignment="1" applyProtection="1">
      <alignment horizontal="center" vertical="center"/>
    </xf>
    <xf numFmtId="0" fontId="24" fillId="11" borderId="19" xfId="0" applyFont="1" applyFill="1" applyBorder="1" applyAlignment="1" applyProtection="1">
      <alignment vertical="center"/>
    </xf>
    <xf numFmtId="0" fontId="24" fillId="11" borderId="17" xfId="0" applyFont="1" applyFill="1" applyBorder="1" applyAlignment="1" applyProtection="1">
      <alignment vertical="center"/>
    </xf>
    <xf numFmtId="0" fontId="24" fillId="11" borderId="17" xfId="0" applyFont="1" applyFill="1" applyBorder="1" applyAlignment="1" applyProtection="1">
      <alignment horizontal="left" vertical="center"/>
    </xf>
    <xf numFmtId="0" fontId="24" fillId="11" borderId="17" xfId="0" applyFont="1" applyFill="1" applyBorder="1" applyAlignment="1" applyProtection="1">
      <alignment horizontal="center" vertical="center"/>
    </xf>
    <xf numFmtId="0" fontId="24" fillId="11" borderId="20" xfId="0" applyFont="1" applyFill="1" applyBorder="1" applyAlignment="1" applyProtection="1">
      <alignment vertical="center"/>
    </xf>
    <xf numFmtId="0" fontId="24" fillId="11" borderId="25" xfId="0" applyFont="1" applyFill="1" applyBorder="1" applyAlignment="1" applyProtection="1">
      <alignment vertical="center"/>
    </xf>
    <xf numFmtId="0" fontId="24" fillId="11" borderId="25" xfId="0" applyFont="1" applyFill="1" applyBorder="1" applyAlignment="1" applyProtection="1">
      <alignment horizontal="left" vertical="center"/>
    </xf>
    <xf numFmtId="0" fontId="24" fillId="11" borderId="25" xfId="0" applyFont="1" applyFill="1" applyBorder="1" applyAlignment="1" applyProtection="1">
      <alignment horizontal="center" vertical="center"/>
    </xf>
    <xf numFmtId="0" fontId="24" fillId="11" borderId="0" xfId="0" applyFont="1" applyFill="1" applyBorder="1" applyAlignment="1" applyProtection="1">
      <alignment horizontal="left" vertical="center"/>
    </xf>
    <xf numFmtId="0" fontId="24" fillId="11" borderId="0" xfId="0" applyFont="1" applyFill="1" applyBorder="1" applyAlignment="1" applyProtection="1">
      <alignment horizontal="center" vertical="center"/>
    </xf>
    <xf numFmtId="2" fontId="26" fillId="14" borderId="18" xfId="0" applyNumberFormat="1" applyFont="1" applyFill="1" applyBorder="1" applyAlignment="1" applyProtection="1">
      <alignment horizontal="center" vertical="center"/>
    </xf>
    <xf numFmtId="0" fontId="24" fillId="0" borderId="18" xfId="0" applyFont="1" applyBorder="1" applyAlignment="1" applyProtection="1">
      <alignment horizontal="center" vertical="center"/>
      <protection locked="0"/>
    </xf>
    <xf numFmtId="165" fontId="24" fillId="14" borderId="18" xfId="0" applyNumberFormat="1" applyFont="1" applyFill="1" applyBorder="1" applyAlignment="1" applyProtection="1">
      <alignment horizontal="center" vertical="center"/>
    </xf>
    <xf numFmtId="167" fontId="26" fillId="11" borderId="18" xfId="1" applyNumberFormat="1" applyFont="1" applyFill="1" applyBorder="1" applyAlignment="1" applyProtection="1">
      <alignment horizontal="center" vertical="center"/>
      <protection locked="0"/>
    </xf>
    <xf numFmtId="9" fontId="24" fillId="0" borderId="18" xfId="1" applyFont="1" applyBorder="1" applyAlignment="1" applyProtection="1">
      <alignment horizontal="center" vertical="center"/>
      <protection locked="0"/>
    </xf>
    <xf numFmtId="0" fontId="26" fillId="15" borderId="23" xfId="0" applyFont="1" applyFill="1" applyBorder="1" applyAlignment="1" applyProtection="1">
      <alignment horizontal="center" vertical="center"/>
    </xf>
    <xf numFmtId="0" fontId="26" fillId="15" borderId="21" xfId="0" applyFont="1" applyFill="1" applyBorder="1" applyAlignment="1" applyProtection="1">
      <alignment horizontal="center" vertical="center"/>
    </xf>
    <xf numFmtId="0" fontId="26" fillId="15" borderId="18" xfId="0" applyFont="1" applyFill="1" applyBorder="1" applyAlignment="1" applyProtection="1">
      <alignment horizontal="center" vertical="center"/>
    </xf>
    <xf numFmtId="0" fontId="31" fillId="15" borderId="18" xfId="2" applyFont="1" applyFill="1" applyBorder="1" applyAlignment="1" applyProtection="1">
      <alignment horizontal="center" vertical="center" wrapText="1"/>
    </xf>
    <xf numFmtId="2" fontId="26" fillId="15" borderId="18" xfId="0" applyNumberFormat="1" applyFont="1" applyFill="1" applyBorder="1" applyAlignment="1" applyProtection="1">
      <alignment horizontal="center" vertical="center"/>
    </xf>
    <xf numFmtId="0" fontId="26" fillId="15" borderId="18" xfId="0" applyFont="1" applyFill="1" applyBorder="1" applyAlignment="1" applyProtection="1">
      <alignment horizontal="right" vertical="center"/>
    </xf>
    <xf numFmtId="0" fontId="26" fillId="15" borderId="22" xfId="0" applyFont="1" applyFill="1" applyBorder="1" applyAlignment="1" applyProtection="1">
      <alignment horizontal="center" vertical="center" wrapText="1"/>
    </xf>
    <xf numFmtId="0" fontId="26" fillId="14" borderId="18" xfId="0" applyFont="1" applyFill="1" applyBorder="1" applyAlignment="1" applyProtection="1">
      <alignment horizontal="center" vertical="center"/>
    </xf>
    <xf numFmtId="0" fontId="24" fillId="11" borderId="24" xfId="0" applyFont="1" applyFill="1" applyBorder="1" applyAlignment="1" applyProtection="1">
      <alignment vertical="center"/>
    </xf>
    <xf numFmtId="0" fontId="29" fillId="15" borderId="18" xfId="2" applyFill="1" applyBorder="1" applyAlignment="1" applyProtection="1">
      <alignment horizontal="center" vertical="center" wrapText="1"/>
    </xf>
    <xf numFmtId="0" fontId="0" fillId="0" borderId="0" xfId="0" applyAlignment="1">
      <alignment horizontal="center" vertical="center" wrapText="1"/>
    </xf>
    <xf numFmtId="0" fontId="26" fillId="11" borderId="0" xfId="0" applyFont="1" applyFill="1" applyBorder="1" applyAlignment="1" applyProtection="1">
      <alignment horizontal="center" vertical="center" wrapText="1"/>
    </xf>
    <xf numFmtId="0" fontId="26" fillId="11" borderId="28" xfId="0" applyFont="1" applyFill="1" applyBorder="1" applyAlignment="1" applyProtection="1">
      <alignment horizontal="center" vertical="center" wrapText="1"/>
    </xf>
    <xf numFmtId="0" fontId="26" fillId="11" borderId="28" xfId="0" applyFont="1" applyFill="1" applyBorder="1" applyAlignment="1" applyProtection="1">
      <alignment horizontal="center" vertical="center"/>
    </xf>
    <xf numFmtId="2" fontId="26" fillId="11" borderId="28" xfId="0" applyNumberFormat="1" applyFont="1" applyFill="1" applyBorder="1" applyAlignment="1" applyProtection="1">
      <alignment horizontal="center" vertical="center"/>
    </xf>
    <xf numFmtId="0" fontId="24" fillId="11" borderId="27" xfId="0" applyFont="1" applyFill="1" applyBorder="1" applyAlignment="1" applyProtection="1">
      <alignment horizontal="center" vertical="center" wrapText="1"/>
      <protection locked="0"/>
    </xf>
    <xf numFmtId="0" fontId="26" fillId="11" borderId="26" xfId="0" applyFont="1" applyFill="1" applyBorder="1" applyAlignment="1" applyProtection="1">
      <alignment horizontal="center" vertical="center" wrapText="1"/>
    </xf>
    <xf numFmtId="0" fontId="1" fillId="0" borderId="0" xfId="0" applyFont="1" applyAlignment="1">
      <alignment horizontal="left" vertical="center"/>
    </xf>
    <xf numFmtId="0" fontId="0" fillId="17" borderId="18" xfId="0" applyFill="1" applyBorder="1" applyAlignment="1">
      <alignment horizontal="center" vertical="center" wrapText="1"/>
    </xf>
    <xf numFmtId="0" fontId="4" fillId="11" borderId="3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35" fillId="11" borderId="31" xfId="0" applyFont="1" applyFill="1" applyBorder="1" applyAlignment="1">
      <alignment horizontal="center" vertical="center" wrapText="1"/>
    </xf>
    <xf numFmtId="0" fontId="35" fillId="18" borderId="1" xfId="0" applyFont="1" applyFill="1" applyBorder="1" applyAlignment="1">
      <alignment horizontal="center" vertical="center" wrapText="1"/>
    </xf>
    <xf numFmtId="0" fontId="36" fillId="0" borderId="0" xfId="0" applyFont="1" applyAlignment="1">
      <alignment vertical="center" wrapText="1"/>
    </xf>
    <xf numFmtId="0" fontId="37" fillId="0" borderId="0" xfId="0" applyFont="1" applyAlignment="1">
      <alignment horizontal="left" vertical="center"/>
    </xf>
    <xf numFmtId="0" fontId="4" fillId="11" borderId="30" xfId="0" applyFont="1" applyFill="1" applyBorder="1" applyAlignment="1">
      <alignment horizontal="center" vertical="center" wrapText="1"/>
    </xf>
    <xf numFmtId="0" fontId="4" fillId="11" borderId="32" xfId="0" applyFont="1" applyFill="1" applyBorder="1" applyAlignment="1">
      <alignment horizontal="center" vertical="center" wrapText="1"/>
    </xf>
    <xf numFmtId="0" fontId="35" fillId="11" borderId="32" xfId="0" applyFont="1" applyFill="1" applyBorder="1" applyAlignment="1">
      <alignment horizontal="center" vertical="center" wrapText="1"/>
    </xf>
    <xf numFmtId="0" fontId="35" fillId="0" borderId="33" xfId="0" applyFont="1" applyBorder="1" applyAlignment="1">
      <alignment horizontal="center" vertical="center" wrapText="1"/>
    </xf>
    <xf numFmtId="0" fontId="38" fillId="18" borderId="1" xfId="0" applyFont="1" applyFill="1" applyBorder="1" applyAlignment="1">
      <alignment horizontal="center" vertical="center" wrapText="1"/>
    </xf>
    <xf numFmtId="0" fontId="39" fillId="18" borderId="1" xfId="0" applyFont="1" applyFill="1" applyBorder="1" applyAlignment="1">
      <alignment horizontal="center" vertical="center" wrapText="1"/>
    </xf>
    <xf numFmtId="0" fontId="38" fillId="11" borderId="31" xfId="0" applyFont="1" applyFill="1" applyBorder="1" applyAlignment="1">
      <alignment horizontal="center" vertical="center" wrapText="1"/>
    </xf>
    <xf numFmtId="0" fontId="39" fillId="11" borderId="31" xfId="0" applyFont="1" applyFill="1" applyBorder="1" applyAlignment="1">
      <alignment horizontal="center" vertical="center" wrapText="1"/>
    </xf>
    <xf numFmtId="0" fontId="3" fillId="17" borderId="18" xfId="0" applyFont="1" applyFill="1" applyBorder="1" applyAlignment="1">
      <alignment horizontal="center" vertical="center" wrapText="1"/>
    </xf>
    <xf numFmtId="0" fontId="40" fillId="19" borderId="34" xfId="3" applyAlignment="1" applyProtection="1">
      <alignment horizontal="center" vertical="center" wrapText="1"/>
    </xf>
    <xf numFmtId="0" fontId="26" fillId="15" borderId="18" xfId="0"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24" fillId="11" borderId="28" xfId="0" applyFont="1" applyFill="1" applyBorder="1" applyAlignment="1" applyProtection="1">
      <alignment vertical="center"/>
    </xf>
    <xf numFmtId="4" fontId="0" fillId="0" borderId="0" xfId="0" applyNumberFormat="1" applyAlignment="1">
      <alignment horizontal="right" vertical="center"/>
    </xf>
    <xf numFmtId="10" fontId="30" fillId="14" borderId="18" xfId="1" applyNumberFormat="1" applyFont="1" applyFill="1" applyBorder="1" applyAlignment="1" applyProtection="1">
      <alignment horizontal="center" vertical="center"/>
    </xf>
    <xf numFmtId="4" fontId="24" fillId="11" borderId="0" xfId="0" applyNumberFormat="1" applyFont="1" applyFill="1" applyAlignment="1" applyProtection="1">
      <alignment vertical="center"/>
    </xf>
    <xf numFmtId="0" fontId="25" fillId="11" borderId="37" xfId="0" applyFont="1" applyFill="1" applyBorder="1" applyAlignment="1" applyProtection="1">
      <alignment vertical="center" wrapText="1"/>
    </xf>
    <xf numFmtId="0" fontId="25" fillId="11" borderId="38" xfId="0" applyFont="1" applyFill="1" applyBorder="1" applyAlignment="1" applyProtection="1">
      <alignment vertical="center" wrapText="1"/>
    </xf>
    <xf numFmtId="0" fontId="0" fillId="0" borderId="0" xfId="0" applyAlignment="1">
      <alignment horizontal="center" vertical="center"/>
    </xf>
    <xf numFmtId="4" fontId="24" fillId="14" borderId="18" xfId="0" applyNumberFormat="1" applyFont="1" applyFill="1" applyBorder="1" applyAlignment="1" applyProtection="1">
      <alignment horizontal="center" vertical="center"/>
    </xf>
    <xf numFmtId="0" fontId="26" fillId="15" borderId="18" xfId="0" applyFont="1" applyFill="1" applyBorder="1" applyAlignment="1" applyProtection="1">
      <alignment horizontal="center" vertical="center" wrapText="1"/>
    </xf>
    <xf numFmtId="0" fontId="26" fillId="14" borderId="18" xfId="0" applyFont="1" applyFill="1" applyBorder="1" applyAlignment="1" applyProtection="1">
      <alignment horizontal="center" vertical="center" wrapText="1"/>
    </xf>
    <xf numFmtId="0" fontId="26" fillId="15" borderId="18" xfId="0" applyFont="1" applyFill="1" applyBorder="1" applyAlignment="1" applyProtection="1">
      <alignment horizontal="center" vertical="center" wrapText="1"/>
    </xf>
    <xf numFmtId="0" fontId="24" fillId="11" borderId="28" xfId="0" applyFont="1" applyFill="1" applyBorder="1" applyAlignment="1" applyProtection="1">
      <alignment horizontal="center" vertical="center" wrapText="1"/>
      <protection locked="0"/>
    </xf>
    <xf numFmtId="0" fontId="24" fillId="11" borderId="18" xfId="0" applyFont="1" applyFill="1" applyBorder="1" applyAlignment="1" applyProtection="1">
      <alignment horizontal="center" vertical="center" wrapText="1"/>
      <protection locked="0"/>
    </xf>
    <xf numFmtId="9" fontId="24" fillId="14" borderId="18" xfId="1" applyFont="1" applyFill="1" applyBorder="1" applyAlignment="1" applyProtection="1">
      <alignment horizontal="center" vertical="center"/>
    </xf>
    <xf numFmtId="0" fontId="26" fillId="14" borderId="18" xfId="0" applyFont="1" applyFill="1" applyBorder="1" applyAlignment="1" applyProtection="1">
      <alignment horizontal="center" vertical="center" wrapText="1"/>
    </xf>
    <xf numFmtId="0" fontId="24" fillId="16" borderId="22" xfId="0" applyFont="1" applyFill="1" applyBorder="1" applyAlignment="1" applyProtection="1">
      <alignment horizontal="center" vertical="center"/>
      <protection locked="0"/>
    </xf>
    <xf numFmtId="0" fontId="24" fillId="16" borderId="17" xfId="0" applyFont="1" applyFill="1" applyBorder="1" applyAlignment="1" applyProtection="1">
      <alignment horizontal="center" vertical="center"/>
      <protection locked="0"/>
    </xf>
    <xf numFmtId="169" fontId="24" fillId="16" borderId="18" xfId="0" applyNumberFormat="1" applyFont="1" applyFill="1" applyBorder="1" applyAlignment="1" applyProtection="1">
      <alignment horizontal="center" vertical="center"/>
      <protection locked="0"/>
    </xf>
    <xf numFmtId="0" fontId="24" fillId="0" borderId="19" xfId="0" applyFont="1" applyBorder="1" applyAlignment="1" applyProtection="1">
      <alignment horizontal="center" vertical="center" wrapText="1"/>
      <protection locked="0"/>
    </xf>
    <xf numFmtId="0" fontId="24" fillId="0" borderId="35"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166" fontId="26" fillId="14" borderId="18" xfId="0" applyNumberFormat="1" applyFont="1" applyFill="1" applyBorder="1" applyAlignment="1" applyProtection="1">
      <alignment horizontal="center" vertical="center"/>
    </xf>
    <xf numFmtId="166" fontId="26" fillId="14" borderId="36" xfId="0" applyNumberFormat="1" applyFont="1" applyFill="1" applyBorder="1" applyAlignment="1" applyProtection="1">
      <alignment horizontal="center" vertical="center"/>
    </xf>
    <xf numFmtId="1" fontId="26" fillId="0" borderId="18" xfId="0" applyNumberFormat="1"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6" fillId="14" borderId="18" xfId="0" applyFont="1" applyFill="1" applyBorder="1" applyAlignment="1" applyProtection="1">
      <alignment horizontal="center" vertical="center" wrapText="1"/>
    </xf>
    <xf numFmtId="0" fontId="26" fillId="14" borderId="19" xfId="0" applyFont="1" applyFill="1" applyBorder="1" applyAlignment="1" applyProtection="1">
      <alignment horizontal="center" vertical="center"/>
    </xf>
    <xf numFmtId="0" fontId="26" fillId="14" borderId="20" xfId="0" applyFont="1" applyFill="1" applyBorder="1" applyAlignment="1" applyProtection="1">
      <alignment horizontal="center" vertical="center"/>
    </xf>
    <xf numFmtId="0" fontId="26" fillId="15" borderId="18" xfId="0" applyFont="1" applyFill="1" applyBorder="1" applyAlignment="1" applyProtection="1">
      <alignment horizontal="center" vertical="center" wrapText="1"/>
    </xf>
    <xf numFmtId="4" fontId="24" fillId="11" borderId="18" xfId="0" applyNumberFormat="1" applyFont="1" applyFill="1" applyBorder="1" applyAlignment="1" applyProtection="1">
      <alignment horizontal="center" vertical="center"/>
      <protection locked="0"/>
    </xf>
    <xf numFmtId="0" fontId="26" fillId="15" borderId="19" xfId="0" applyFont="1" applyFill="1" applyBorder="1" applyAlignment="1" applyProtection="1">
      <alignment horizontal="center" vertical="center" wrapText="1"/>
    </xf>
    <xf numFmtId="0" fontId="26" fillId="15" borderId="17" xfId="0" applyFont="1" applyFill="1" applyBorder="1" applyAlignment="1" applyProtection="1">
      <alignment horizontal="center" vertical="center" wrapText="1"/>
    </xf>
    <xf numFmtId="0" fontId="26" fillId="15" borderId="20" xfId="0" applyFont="1" applyFill="1" applyBorder="1" applyAlignment="1" applyProtection="1">
      <alignment horizontal="center" vertical="center" wrapText="1"/>
    </xf>
    <xf numFmtId="0" fontId="26" fillId="14" borderId="19" xfId="0" applyFont="1" applyFill="1" applyBorder="1" applyAlignment="1" applyProtection="1">
      <alignment horizontal="center" vertical="center" wrapText="1"/>
    </xf>
    <xf numFmtId="0" fontId="26" fillId="14" borderId="17" xfId="0" applyFont="1" applyFill="1" applyBorder="1" applyAlignment="1" applyProtection="1">
      <alignment horizontal="center" vertical="center" wrapText="1"/>
    </xf>
    <xf numFmtId="0" fontId="26" fillId="14" borderId="20" xfId="0" applyFont="1" applyFill="1" applyBorder="1" applyAlignment="1" applyProtection="1">
      <alignment horizontal="center" vertical="center" wrapText="1"/>
    </xf>
    <xf numFmtId="4" fontId="26" fillId="14" borderId="18" xfId="0" applyNumberFormat="1" applyFont="1" applyFill="1" applyBorder="1" applyAlignment="1" applyProtection="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36" fillId="0" borderId="29" xfId="0" applyFont="1" applyBorder="1" applyAlignment="1">
      <alignment horizontal="center" vertical="center" wrapText="1"/>
    </xf>
    <xf numFmtId="0" fontId="2" fillId="17" borderId="18" xfId="0" applyFont="1" applyFill="1" applyBorder="1" applyAlignment="1">
      <alignment horizontal="center" vertical="center" wrapText="1"/>
    </xf>
    <xf numFmtId="0" fontId="0" fillId="0" borderId="0" xfId="0" applyAlignment="1">
      <alignment horizontal="left" vertical="center" wrapText="1"/>
    </xf>
    <xf numFmtId="0" fontId="17"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cellXfs>
  <cellStyles count="4">
    <cellStyle name="Celda de comprobación" xfId="3" builtinId="23"/>
    <cellStyle name="Hipervínculo" xfId="2" builtinId="8"/>
    <cellStyle name="Normal" xfId="0" builtinId="0"/>
    <cellStyle name="Porcentaje" xfId="1" builtinId="5"/>
  </cellStyles>
  <dxfs count="24">
    <dxf>
      <font>
        <b/>
        <i val="0"/>
        <strike val="0"/>
        <color theme="0"/>
      </font>
      <fill>
        <patternFill>
          <bgColor rgb="FFC95513"/>
        </patternFill>
      </fill>
      <border>
        <left style="thin">
          <color auto="1"/>
        </left>
        <right style="thin">
          <color auto="1"/>
        </right>
        <top style="thin">
          <color auto="1"/>
        </top>
        <bottom style="thin">
          <color auto="1"/>
        </bottom>
        <vertical/>
        <horizontal/>
      </border>
    </dxf>
    <dxf>
      <font>
        <b/>
        <i val="0"/>
        <color theme="0"/>
      </font>
      <fill>
        <patternFill>
          <bgColor rgb="FFC95513"/>
        </patternFill>
      </fill>
      <border>
        <left style="thin">
          <color auto="1"/>
        </left>
        <right style="thin">
          <color auto="1"/>
        </right>
        <top style="thin">
          <color auto="1"/>
        </top>
        <bottom style="thin">
          <color auto="1"/>
        </bottom>
        <vertical/>
        <horizontal/>
      </border>
    </dxf>
    <dxf>
      <font>
        <b/>
        <i val="0"/>
        <color theme="0"/>
      </font>
      <fill>
        <patternFill>
          <bgColor rgb="FFC95513"/>
        </patternFill>
      </fill>
      <border>
        <left style="thin">
          <color auto="1"/>
        </left>
        <right style="thin">
          <color auto="1"/>
        </right>
        <top style="thin">
          <color auto="1"/>
        </top>
        <bottom style="thin">
          <color auto="1"/>
        </bottom>
        <vertical/>
        <horizontal/>
      </border>
    </dxf>
    <dxf>
      <font>
        <b/>
        <i val="0"/>
        <color theme="0"/>
      </font>
      <fill>
        <patternFill>
          <bgColor rgb="FFC95513"/>
        </patternFill>
      </fill>
      <border>
        <left style="thin">
          <color auto="1"/>
        </left>
        <right style="thin">
          <color auto="1"/>
        </right>
        <top style="thin">
          <color auto="1"/>
        </top>
        <bottom style="thin">
          <color auto="1"/>
        </bottom>
        <vertical/>
        <horizontal/>
      </border>
    </dxf>
    <dxf>
      <font>
        <b/>
        <i val="0"/>
        <color theme="0"/>
      </font>
      <fill>
        <patternFill>
          <bgColor rgb="FFC95513"/>
        </patternFill>
      </fill>
      <border>
        <left style="thin">
          <color auto="1"/>
        </left>
        <right style="thin">
          <color auto="1"/>
        </right>
        <top style="thin">
          <color auto="1"/>
        </top>
        <bottom style="thin">
          <color auto="1"/>
        </bottom>
        <vertical/>
        <horizontal/>
      </border>
    </dxf>
    <dxf>
      <font>
        <b/>
        <i val="0"/>
        <color theme="0"/>
      </font>
      <fill>
        <patternFill>
          <bgColor rgb="FFC95513"/>
        </patternFill>
      </fill>
      <border>
        <left style="thin">
          <color auto="1"/>
        </left>
        <right style="thin">
          <color auto="1"/>
        </right>
        <top style="thin">
          <color auto="1"/>
        </top>
        <bottom style="thin">
          <color auto="1"/>
        </bottom>
        <vertical/>
        <horizontal/>
      </border>
    </dxf>
    <dxf>
      <font>
        <b/>
        <i val="0"/>
        <strike val="0"/>
        <color theme="0"/>
      </font>
      <fill>
        <patternFill>
          <bgColor rgb="FFC95513"/>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C95513"/>
        </patternFill>
      </fill>
    </dxf>
    <dxf>
      <font>
        <b/>
        <i val="0"/>
        <color theme="0"/>
      </font>
      <fill>
        <patternFill>
          <bgColor rgb="FFC95513"/>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border>
        <left/>
        <right/>
        <top/>
        <bottom/>
        <vertical/>
        <horizontal/>
      </border>
    </dxf>
    <dxf>
      <font>
        <color theme="0"/>
      </font>
      <fill>
        <patternFill>
          <bgColor theme="0"/>
        </patternFill>
      </fill>
      <border>
        <left/>
        <right/>
        <top/>
        <bottom/>
        <vertical/>
        <horizontal/>
      </border>
    </dxf>
    <dxf>
      <font>
        <b/>
        <i val="0"/>
        <color theme="0"/>
      </font>
      <fill>
        <patternFill>
          <bgColor rgb="FFC95513"/>
        </patternFill>
      </fill>
      <border>
        <left style="thin">
          <color auto="1"/>
        </left>
        <right style="thin">
          <color auto="1"/>
        </right>
        <top style="thin">
          <color auto="1"/>
        </top>
        <bottom style="thin">
          <color auto="1"/>
        </bottom>
        <vertical/>
        <horizontal/>
      </border>
    </dxf>
    <dxf>
      <font>
        <b/>
        <i val="0"/>
        <strike val="0"/>
        <u val="none"/>
        <color theme="0"/>
      </font>
      <fill>
        <patternFill>
          <bgColor rgb="FFC95513"/>
        </patternFill>
      </fill>
    </dxf>
    <dxf>
      <font>
        <b/>
        <i val="0"/>
        <color theme="0"/>
      </font>
      <fill>
        <patternFill>
          <bgColor rgb="FFC95513"/>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tint="-0.14996795556505021"/>
      </font>
      <fill>
        <patternFill>
          <bgColor theme="0" tint="-0.14996795556505021"/>
        </patternFill>
      </fill>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Medium9"/>
  <colors>
    <mruColors>
      <color rgb="FFC95513"/>
      <color rgb="FFDEE7F2"/>
      <color rgb="FFFFE285"/>
      <color rgb="FFDAF8C4"/>
      <color rgb="FFB2F187"/>
      <color rgb="FF94BB20"/>
      <color rgb="FF6CA6C4"/>
      <color rgb="FF92D050"/>
      <color rgb="FF538ED5"/>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57150</xdr:rowOff>
    </xdr:from>
    <xdr:to>
      <xdr:col>14</xdr:col>
      <xdr:colOff>65346</xdr:colOff>
      <xdr:row>1</xdr:row>
      <xdr:rowOff>28575</xdr:rowOff>
    </xdr:to>
    <xdr:grpSp>
      <xdr:nvGrpSpPr>
        <xdr:cNvPr id="3" name="Grupo 2"/>
        <xdr:cNvGrpSpPr/>
      </xdr:nvGrpSpPr>
      <xdr:grpSpPr>
        <a:xfrm>
          <a:off x="0" y="57150"/>
          <a:ext cx="15800646" cy="1162050"/>
          <a:chOff x="0" y="57150"/>
          <a:chExt cx="15800646" cy="1162050"/>
        </a:xfrm>
      </xdr:grpSpPr>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15800646" cy="11620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57400" y="190500"/>
            <a:ext cx="4752975" cy="1011422"/>
          </a:xfrm>
          <a:prstGeom prst="rect">
            <a:avLst/>
          </a:prstGeom>
          <a:solidFill>
            <a:schemeClr val="bg1"/>
          </a:solidFill>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inetad.gob.es/energia/desarrollo/EficienciaEnergetica/CertificacionEnergetica/DocumentosReconocidos/normativamodelosutilizacion/20151123-Calificacion-eficiencia-energetica-edificios.pdf" TargetMode="External"/><Relationship Id="rId7" Type="http://schemas.openxmlformats.org/officeDocument/2006/relationships/comments" Target="../comments1.xml"/><Relationship Id="rId2" Type="http://schemas.openxmlformats.org/officeDocument/2006/relationships/hyperlink" Target="http://www.minetad.gob.es/energia/desarrollo/EficienciaEnergetica/CertificacionEnergetica/DocumentosReconocidos/normativamodelosutilizacion/20151123-Calificacion-eficiencia-energetica-edificios.pdf" TargetMode="External"/><Relationship Id="rId1" Type="http://schemas.openxmlformats.org/officeDocument/2006/relationships/hyperlink" Target="https://www.google.es/url?sa=t&amp;rct=j&amp;q=&amp;esrc=s&amp;source=web&amp;cd=1&amp;cad=rja&amp;uact=8&amp;ved=0ahUKEwjg1c-EmezSAhUDlxoKHbWYD6YQFggaMAA&amp;url=https%3A%2F%2Fwww.boe.es%2Fboe%2Fdias%2F2013%2F09%2F12%2Fpdfs%2FBOE-A-2013-9511.pdf&amp;usg=AFQjCNHEAMx7wkHB5pcJ4IILjQkiIfb0Sw"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63"/>
  <sheetViews>
    <sheetView tabSelected="1" topLeftCell="B1" zoomScaleNormal="100" zoomScalePageLayoutView="70" workbookViewId="0">
      <selection activeCell="P1" sqref="P1"/>
    </sheetView>
  </sheetViews>
  <sheetFormatPr baseColWidth="10" defaultColWidth="9.140625" defaultRowHeight="15" x14ac:dyDescent="0.25"/>
  <cols>
    <col min="1" max="1" width="3.42578125" style="72" hidden="1" customWidth="1"/>
    <col min="2" max="2" width="15.7109375" style="73" customWidth="1"/>
    <col min="3" max="3" width="17.7109375" style="73" customWidth="1"/>
    <col min="4" max="4" width="21.140625" style="73" customWidth="1"/>
    <col min="5" max="5" width="18.85546875" style="73" customWidth="1"/>
    <col min="6" max="7" width="25.28515625" style="73" customWidth="1"/>
    <col min="8" max="8" width="0.7109375" style="73" customWidth="1"/>
    <col min="9" max="9" width="25.42578125" style="73" customWidth="1"/>
    <col min="10" max="10" width="22.140625" style="73" customWidth="1"/>
    <col min="11" max="11" width="20.85546875" style="73" customWidth="1"/>
    <col min="12" max="12" width="0.42578125" style="72" customWidth="1"/>
    <col min="13" max="13" width="23.85546875" style="73" customWidth="1"/>
    <col min="14" max="14" width="18.5703125" style="73" customWidth="1"/>
    <col min="15" max="15" width="24.5703125" style="73" customWidth="1"/>
    <col min="16" max="16" width="17.28515625" style="72" customWidth="1"/>
    <col min="17" max="97" width="9.140625" style="72"/>
    <col min="98" max="16384" width="9.140625" style="73"/>
  </cols>
  <sheetData>
    <row r="1" spans="1:97" s="72" customFormat="1" ht="93.75" customHeight="1" x14ac:dyDescent="0.25"/>
    <row r="2" spans="1:97" s="74" customFormat="1" ht="24" customHeight="1" x14ac:dyDescent="0.25">
      <c r="B2" s="74" t="s">
        <v>1172</v>
      </c>
      <c r="D2" s="92"/>
      <c r="E2" s="93"/>
      <c r="F2" s="92"/>
      <c r="G2" s="93"/>
      <c r="H2" s="72"/>
      <c r="I2" s="93"/>
      <c r="J2" s="93"/>
    </row>
    <row r="3" spans="1:97" s="74" customFormat="1" ht="22.5" customHeight="1" x14ac:dyDescent="0.25">
      <c r="B3" s="89" t="s">
        <v>1196</v>
      </c>
      <c r="C3" s="89"/>
      <c r="D3" s="90"/>
      <c r="E3" s="91"/>
      <c r="F3" s="92"/>
      <c r="G3" s="91"/>
      <c r="H3" s="72"/>
      <c r="I3" s="91"/>
      <c r="J3" s="91"/>
      <c r="K3" s="89"/>
    </row>
    <row r="4" spans="1:97" s="76" customFormat="1" ht="49.5" customHeight="1" x14ac:dyDescent="0.25">
      <c r="A4" s="75"/>
      <c r="B4" s="99" t="s">
        <v>0</v>
      </c>
      <c r="C4" s="162"/>
      <c r="D4" s="162"/>
      <c r="E4" s="100" t="s">
        <v>1036</v>
      </c>
      <c r="F4" s="79"/>
      <c r="G4" s="99" t="s">
        <v>1195</v>
      </c>
      <c r="H4" s="72"/>
      <c r="I4" s="80"/>
      <c r="J4" s="163" t="str">
        <f>IF(I4&lt;&gt;"",VLOOKUP(I4,Municipio!Y2:Z10,2,FALSE),"")</f>
        <v/>
      </c>
      <c r="K4" s="163"/>
      <c r="L4" s="111"/>
      <c r="M4" s="168" t="s">
        <v>1170</v>
      </c>
      <c r="N4" s="169"/>
      <c r="O4" s="170"/>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row>
    <row r="5" spans="1:97" s="76" customFormat="1" ht="51" customHeight="1" x14ac:dyDescent="0.25">
      <c r="A5" s="75"/>
      <c r="B5" s="101" t="s">
        <v>1029</v>
      </c>
      <c r="C5" s="160" t="str">
        <f>IF(C4&lt;&gt;"",Municipio!L2,"")</f>
        <v/>
      </c>
      <c r="D5" s="161"/>
      <c r="E5" s="145" t="s">
        <v>1037</v>
      </c>
      <c r="F5" s="162"/>
      <c r="G5" s="161"/>
      <c r="H5" s="72"/>
      <c r="I5" s="83" t="str">
        <f>IF($C$5&lt;&gt;"",CONCATENATE("Altitud ",ROUND(VLOOKUP(Cumplimiento!$C$5,Municipio!$R$2:$S$774,2,FALSE),2)," m"),"")</f>
        <v/>
      </c>
      <c r="J5" s="164" t="str">
        <f>IF(ZonaClimatica!D14&lt;&gt;"",CONCATENATE("Zona climática ",ZonaClimatica!D14),"")</f>
        <v/>
      </c>
      <c r="K5" s="165"/>
      <c r="L5" s="112"/>
      <c r="M5" s="171" t="str">
        <f>IF($I$4="","",IF(OR(I4=Municipio!Y2,Cumplimiento!$I$4=Municipio!$Y$4,LEFT(I4,5)="A.1.3"),"Sin exigencia adicional al cumplimiento de la tabla 2.3 del DB HE1 del CTE",CONCATENATE("Se exige superar los valores de la tabla 2.3 del DB HE1 al menos en un ",LEFT(RIGHT(VLOOKUP($I$4,Municipio!$Y$2:$AA$7,3,FALSE),3),2),"%")))</f>
        <v/>
      </c>
      <c r="N5" s="172"/>
      <c r="O5" s="173"/>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row>
    <row r="6" spans="1:97" s="74" customFormat="1" ht="6.75" customHeight="1" x14ac:dyDescent="0.25">
      <c r="B6" s="84"/>
      <c r="C6" s="85"/>
      <c r="D6" s="86"/>
      <c r="E6" s="87"/>
      <c r="F6" s="86"/>
      <c r="G6" s="87"/>
      <c r="H6" s="72"/>
      <c r="I6" s="87"/>
      <c r="J6" s="87"/>
      <c r="K6" s="85"/>
      <c r="M6" s="85"/>
      <c r="N6" s="85"/>
      <c r="O6" s="88"/>
    </row>
    <row r="7" spans="1:97" s="76" customFormat="1" ht="65.25" customHeight="1" x14ac:dyDescent="0.25">
      <c r="A7" s="72"/>
      <c r="B7" s="101" t="s">
        <v>1038</v>
      </c>
      <c r="C7" s="102" t="s">
        <v>2</v>
      </c>
      <c r="D7" s="145" t="s">
        <v>3</v>
      </c>
      <c r="E7" s="145" t="s">
        <v>4</v>
      </c>
      <c r="F7" s="145" t="s">
        <v>1171</v>
      </c>
      <c r="G7" s="101" t="s">
        <v>1088</v>
      </c>
      <c r="H7" s="72"/>
      <c r="I7" s="108" t="s">
        <v>1173</v>
      </c>
      <c r="J7" s="108" t="s">
        <v>1174</v>
      </c>
      <c r="K7" s="145" t="s">
        <v>1194</v>
      </c>
      <c r="L7" s="111"/>
      <c r="M7" s="145" t="s">
        <v>1190</v>
      </c>
      <c r="N7" s="166" t="s">
        <v>1217</v>
      </c>
      <c r="O7" s="166"/>
      <c r="P7" s="72"/>
      <c r="Q7" s="72"/>
      <c r="R7" s="72"/>
      <c r="S7" s="75"/>
      <c r="T7" s="75"/>
      <c r="U7" s="75"/>
      <c r="V7" s="75"/>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row>
    <row r="8" spans="1:97" ht="36" x14ac:dyDescent="0.25">
      <c r="A8" s="77" t="str">
        <f>LEFT(Municipio!X2,3)</f>
        <v>1.-</v>
      </c>
      <c r="B8" s="145" t="s">
        <v>1185</v>
      </c>
      <c r="C8" s="81" t="str">
        <f>IF($J$5&lt;&gt;"",HLOOKUP(LEFT(RIGHT($J$5,2),1),ZonaClimatica!$D$16:$H$20,2,FALSE),"")</f>
        <v/>
      </c>
      <c r="D8" s="82" t="str">
        <f>IF($C$8&lt;&gt;"",$C$8*0.8,"")</f>
        <v/>
      </c>
      <c r="E8" s="82" t="str">
        <f>IF($C$8&lt;&gt;"",TRUNC($C$8*0.75,2),"")</f>
        <v/>
      </c>
      <c r="F8" s="153" t="str">
        <f>IF(OR(Cumplimiento!$J$5="",Cumplimiento!$F$4="",Cumplimiento!$F$5="",$C$4="",$C$5=""),"",IF($F$4='CE3'!B1,HLOOKUP(RIGHT(Cumplimiento!$J$5,2),'CE3'!$C$2:$L$43,IF(Cumplimiento!$F$5='CE3'!A4,2,IF(Cumplimiento!$F$5='CE3'!$A$9,8,IF(Cumplimiento!$F$5='CE3'!$A$15,14,IF(Cumplimiento!$F$5='CE3'!$A$21,20,IF(Cumplimiento!$F$5='CE3'!$A$27,26,IF(Cumplimiento!$F$5='CE3'!$A$33,32,38)))))),FALSE),IF($F$4='CE3'!$N$1,HLOOKUP(RIGHT(Cumplimiento!$J$5,2),'CE3'!$O$2:$X$43,IF(Cumplimiento!$F$5='CE3'!A4,2,IF(Cumplimiento!$F$5='CE3'!$A$9,8,IF(Cumplimiento!$F$5='CE3'!$A$15,14,IF(Cumplimiento!$F$5='CE3'!$A$21,20,IF(Cumplimiento!$F$5='CE3'!$A$27,26,IF(Cumplimiento!$F$5='CE3'!$A$33,32,38)))))),FALSE),IF($F$4='CE3'!$Z$1,HLOOKUP(RIGHT(Cumplimiento!$J$5,2),'CE3'!$AA$2:$AJ$43,IF(Cumplimiento!$F$5='CE3'!A4,2,IF(Cumplimiento!$F$5='CE3'!$A$9,8,IF(Cumplimiento!$F$5='CE3'!$A$15,14,IF(Cumplimiento!$F$5='CE3'!$A$21,20,IF(Cumplimiento!$F$5='CE3'!$A$27,26,IF(Cumplimiento!$F$5='CE3'!$A$33,32,38)))))),FALSE),IF($F$4='CE3'!AL1,HLOOKUP(RIGHT(Cumplimiento!$J$5,2),'CE3'!$AM$2:$AV$43,IF(Cumplimiento!$F$5='CE3'!A4,2,IF(Cumplimiento!$F$5='CE3'!$A$9,8,IF(Cumplimiento!$F$5='CE3'!$A$15,14,IF(Cumplimiento!$F$5='CE3'!$A$21,20,IF(Cumplimiento!$F$5='CE3'!$A$27,26,IF(Cumplimiento!$F$5='CE3'!$A$33,32,38)))))),FALSE))))))</f>
        <v/>
      </c>
      <c r="G8" s="103" t="s">
        <v>1064</v>
      </c>
      <c r="H8" s="72"/>
      <c r="I8" s="94" t="str">
        <f>IF(AND($C$4&lt;&gt;"",$C$5&lt;&gt;"",$J$5&lt;&gt;"",$F$4&lt;&gt;""),IF(LEFT(Cumplimiento!$F$4,1)="1",VLOOKUP(RIGHT(Cumplimiento!$J$5,2),Tab_36_37!$B$8:$J$19,4,FALSE),VLOOKUP(RIGHT(Cumplimiento!$J$5,2),Tab_36_37!$B$26:$J$37,4,FALSE)),"")</f>
        <v/>
      </c>
      <c r="J8" s="94" t="str">
        <f>IF(AND($C$4&lt;&gt;"",$C$5&lt;&gt;"",$J$5&lt;&gt;"",$F$4&lt;&gt;""),IF(LEFT(Cumplimiento!$F$4,1)="1",VLOOKUP(RIGHT(Cumplimiento!$J$5,2),Tab_36_37!$B$8:$J$19,5,FALSE),VLOOKUP(RIGHT(Cumplimiento!$J$5,2),Tab_36_37!$B$26:$J$37,5,FALSE)),"")</f>
        <v/>
      </c>
      <c r="K8" s="94" t="str">
        <f>IF(AND(I8&lt;&gt;"",J8&lt;&gt;""),I8+J8,"")</f>
        <v/>
      </c>
      <c r="L8" s="113"/>
      <c r="M8" s="80"/>
      <c r="N8" s="174" t="str">
        <f>IF(AND(M8&gt;0,K8&lt;&gt;""),K8*M8,"")</f>
        <v/>
      </c>
      <c r="O8" s="174"/>
    </row>
    <row r="9" spans="1:97" ht="48.75" customHeight="1" x14ac:dyDescent="0.25">
      <c r="A9" s="77" t="str">
        <f>LEFT(Municipio!X3,3)</f>
        <v>2.-</v>
      </c>
      <c r="B9" s="145" t="s">
        <v>1186</v>
      </c>
      <c r="C9" s="81" t="str">
        <f>IF($J$5&lt;&gt;"",HLOOKUP(LEFT(RIGHT($J$5,2),1),ZonaClimatica!$D$16:$H$20,3,FALSE),"")</f>
        <v/>
      </c>
      <c r="D9" s="81" t="str">
        <f>IF($C$9&lt;&gt;"",$C$9*0.8,"")</f>
        <v/>
      </c>
      <c r="E9" s="82" t="str">
        <f>IF($C$9&lt;&gt;"",TRUNC($C$9*0.75,2),"")</f>
        <v/>
      </c>
      <c r="F9" s="153" t="str">
        <f>IF(OR(Cumplimiento!$J$5="",Cumplimiento!$F$4="",Cumplimiento!$F$5="",$C$4="",$C$5=""),"",IF($F$4='CE3'!B1,HLOOKUP(RIGHT(Cumplimiento!$J$5,2),'CE3'!$C$2:$L$43,IF(Cumplimiento!$F$5='CE3'!A4,3,IF(Cumplimiento!$F$5='CE3'!$A$9,9,IF(Cumplimiento!$F$5='CE3'!$A$15,15,IF(Cumplimiento!$F$5='CE3'!$A$21,21,IF(Cumplimiento!$F$5='CE3'!$A$27,27,IF(Cumplimiento!$F$5='CE3'!$A$33,33,39)))))),FALSE),IF($F$4='CE3'!$N$1,HLOOKUP(RIGHT(Cumplimiento!$J$5,2),'CE3'!$O$2:$X$43,IF(Cumplimiento!$F$5='CE3'!A4,3,IF(Cumplimiento!$F$5='CE3'!$A$9,9,IF(Cumplimiento!$F$5='CE3'!$A$15,15,IF(Cumplimiento!$F$5='CE3'!$A$21,21,IF(Cumplimiento!$F$5='CE3'!$A$27,27,IF(Cumplimiento!$F$5='CE3'!$A$33,33,39)))))),FALSE),IF($F$4='CE3'!$Z$1,HLOOKUP(RIGHT(Cumplimiento!$J$5,2),'CE3'!$AA$2:$AJ$43,IF(Cumplimiento!$F$5='CE3'!A4,3,IF(Cumplimiento!$F$5='CE3'!$A$9,9,IF(Cumplimiento!$F$5='CE3'!$A$15,15,IF(Cumplimiento!$F$5='CE3'!$A$21,21,IF(Cumplimiento!$F$5='CE3'!$A$27,27,IF(Cumplimiento!$F$5='CE3'!$A$33,33,39)))))),FALSE),IF($F$4='CE3'!AL1,HLOOKUP(RIGHT(Cumplimiento!$J$5,2),'CE3'!$AM$2:$AV$43,IF(Cumplimiento!$F$5='CE3'!A4,3,IF(Cumplimiento!$F$5='CE3'!$A$9,9,IF(Cumplimiento!$F$5='CE3'!$A$15,15,IF(Cumplimiento!$F$5='CE3'!$A$21,21,IF(Cumplimiento!$F$5='CE3'!$A$27,27,IF(Cumplimiento!$F$5='CE3'!$A$33,33,39)))))),FALSE))))))</f>
        <v/>
      </c>
      <c r="G9" s="103" t="s">
        <v>1069</v>
      </c>
      <c r="H9" s="72"/>
      <c r="I9" s="166" t="s">
        <v>1191</v>
      </c>
      <c r="J9" s="167"/>
      <c r="K9" s="166" t="s">
        <v>1192</v>
      </c>
      <c r="L9" s="111"/>
      <c r="M9" s="167"/>
      <c r="N9" s="166" t="s">
        <v>1193</v>
      </c>
      <c r="O9" s="167"/>
    </row>
    <row r="10" spans="1:97" ht="47.25" customHeight="1" thickBot="1" x14ac:dyDescent="0.3">
      <c r="A10" s="77" t="str">
        <f>LEFT(Municipio!X4,3)</f>
        <v>3.-</v>
      </c>
      <c r="B10" s="145" t="s">
        <v>1187</v>
      </c>
      <c r="C10" s="81" t="str">
        <f>C8</f>
        <v/>
      </c>
      <c r="D10" s="81" t="str">
        <f>D8</f>
        <v/>
      </c>
      <c r="E10" s="81" t="str">
        <f>E8</f>
        <v/>
      </c>
      <c r="F10" s="153" t="str">
        <f>IF(OR(Cumplimiento!$J$5="",Cumplimiento!$F$4="",Cumplimiento!$F$5="",$C$4="",$C$5=""),"",IF($F$4='CE3'!B1,HLOOKUP(RIGHT(Cumplimiento!$J$5,2),'CE3'!$C$2:$L$43,IF(Cumplimiento!$F$5='CE3'!A4,4,IF(Cumplimiento!$F$5='CE3'!$A$9,10,IF(Cumplimiento!$F$5='CE3'!$A$15,16,IF(Cumplimiento!$F$5='CE3'!$A$21,22,IF(Cumplimiento!$F$5='CE3'!$A$27,28,IF(Cumplimiento!$F$5='CE3'!$A$33,34,40)))))),FALSE),IF($F$4='CE3'!$N$1,HLOOKUP(RIGHT(Cumplimiento!$J$5,2),'CE3'!$O$2:$X$43,IF(Cumplimiento!$F$5='CE3'!A4,4,IF(Cumplimiento!$F$5='CE3'!$A$9,10,IF(Cumplimiento!$F$5='CE3'!$A$15,16,IF(Cumplimiento!$F$5='CE3'!$A$21,22,IF(Cumplimiento!$F$5='CE3'!$A$27,28,IF(Cumplimiento!$F$5='CE3'!$A$33,34,40)))))),FALSE),IF($F$4='CE3'!$Z$1,HLOOKUP(RIGHT(Cumplimiento!$J$5,2),'CE3'!$AA$2:$AJ$43,IF(Cumplimiento!$F$5='CE3'!A4,4,IF(Cumplimiento!$F$5='CE3'!$A$9,10,IF(Cumplimiento!$F$5='CE3'!$A$15,16,IF(Cumplimiento!$F$5='CE3'!$A$21,22,IF(Cumplimiento!$F$5='CE3'!$A$27,28,IF(Cumplimiento!$F$5='CE3'!$A$33,34,40)))))),FALSE),IF($F$4='CE3'!AL1,HLOOKUP(RIGHT(Cumplimiento!$J$5,2),'CE3'!$AM$2:$AV$43,IF(Cumplimiento!$F$5='CE3'!A4,4,IF(Cumplimiento!$F$5='CE3'!$A$9,10,IF(Cumplimiento!$F$5='CE3'!$A$15,16,IF(Cumplimiento!$F$5='CE3'!$A$21,22,IF(Cumplimiento!$F$5='CE3'!$A$27,28,IF(Cumplimiento!$F$5='CE3'!$A$33,34,40)))))),FALSE))))))</f>
        <v/>
      </c>
      <c r="G10" s="103" t="s">
        <v>1070</v>
      </c>
      <c r="H10" s="72"/>
      <c r="I10" s="166"/>
      <c r="J10" s="167"/>
      <c r="K10" s="166"/>
      <c r="L10" s="111"/>
      <c r="M10" s="167"/>
      <c r="N10" s="166"/>
      <c r="O10" s="167"/>
    </row>
    <row r="11" spans="1:97" s="74" customFormat="1" ht="61.5" customHeight="1" thickTop="1" thickBot="1" x14ac:dyDescent="0.3">
      <c r="A11" s="77" t="str">
        <f>LEFT(Municipio!X5,3)</f>
        <v>4.-</v>
      </c>
      <c r="B11" s="145" t="s">
        <v>1188</v>
      </c>
      <c r="C11" s="81" t="str">
        <f>IF($J$5&lt;&gt;"",HLOOKUP(LEFT(RIGHT($J$5,2),1),ZonaClimatica!$D$16:$H$20,4,FALSE),"")</f>
        <v/>
      </c>
      <c r="D11" s="81" t="str">
        <f>IF($C$11&lt;&gt;"",$C$11*0.8,"")</f>
        <v/>
      </c>
      <c r="E11" s="81" t="str">
        <f>IF($C$11&lt;&gt;"",TRUNC($C$11*0.75,2),"")</f>
        <v/>
      </c>
      <c r="F11" s="81" t="str">
        <f>IF(AND(C4&lt;&gt;"",C5&lt;&gt;"",I4&lt;&gt;"",F4&lt;&gt;"",F5&lt;&gt;""),"No aplica","")</f>
        <v/>
      </c>
      <c r="G11" s="103" t="s">
        <v>1067</v>
      </c>
      <c r="H11" s="72"/>
      <c r="I11" s="145" t="s">
        <v>1225</v>
      </c>
      <c r="J11" s="145" t="s">
        <v>1226</v>
      </c>
      <c r="K11" s="147" t="s">
        <v>1224</v>
      </c>
      <c r="L11" s="148"/>
      <c r="M11" s="145" t="s">
        <v>1222</v>
      </c>
      <c r="N11" s="133" t="s">
        <v>1223</v>
      </c>
      <c r="O11" s="145" t="s">
        <v>1218</v>
      </c>
      <c r="P11" s="72"/>
      <c r="Q11" s="72"/>
    </row>
    <row r="12" spans="1:97" ht="48.75" thickTop="1" x14ac:dyDescent="0.25">
      <c r="A12" s="77" t="str">
        <f>LEFT(Municipio!X6,3)</f>
        <v>5.-</v>
      </c>
      <c r="B12" s="145" t="s">
        <v>1189</v>
      </c>
      <c r="C12" s="81" t="str">
        <f>IF($J$5&lt;&gt;"",HLOOKUP(LEFT(RIGHT($J$5,2),1),ZonaClimatica!$D$16:$H$20,5,FALSE),"")</f>
        <v/>
      </c>
      <c r="D12" s="81" t="str">
        <f>IF($C$12&lt;&gt;"",CONCATENATE("&lt;",TRUNC(RIGHT($C$12,2)*0.8,0)),"")</f>
        <v/>
      </c>
      <c r="E12" s="81" t="str">
        <f>IF($C$12&lt;&gt;"",CONCATENATE("&lt;",TRUNC(RIGHT($C$12,2)*0.75,0)),"")</f>
        <v/>
      </c>
      <c r="F12" s="81" t="str">
        <f>IF(AND(C4&lt;&gt;"",C5&lt;&gt;"",I4&lt;&gt;"",F4&lt;&gt;"",F5&lt;&gt;""),"No aplica","")</f>
        <v/>
      </c>
      <c r="G12" s="103" t="s">
        <v>1068</v>
      </c>
      <c r="H12" s="72"/>
      <c r="I12" s="144" t="str">
        <f>IF(Consumo!G6="","",IF(Consumo!G6&gt;0,Consumo!G6,""))</f>
        <v/>
      </c>
      <c r="J12" s="144" t="str">
        <f>IF(Consumo!K6&gt;0.1,Consumo!K6,IF(N20&gt;0,N20,""))</f>
        <v/>
      </c>
      <c r="K12" s="144" t="str">
        <f>IF(AND(Consumo!K6&gt;0,I12&gt;0,J12&gt;0),I12-J12,IF(AND(N19&gt;0,N20&gt;0,N19&lt;&gt;"",N20&lt;&gt;""),N19-N20,""))</f>
        <v/>
      </c>
      <c r="L12" s="114"/>
      <c r="M12" s="150">
        <v>0.45</v>
      </c>
      <c r="N12" s="144" t="str">
        <f>IF(AND(Consumo!K6&gt;0,I12&gt;0,J12&gt;0,M12&gt;0),(I12-J12)*M12,IF(AND(N19&gt;0,N20&gt;0,N19&lt;&gt;"",N20&lt;&gt;""),(N19-N20)*M12,""))</f>
        <v/>
      </c>
      <c r="O12" s="139" t="str">
        <f>IF(AND(Consumo!K6&gt;0,Consumo!G6&gt;0,Consumo!L6&gt;=0,Consumo!K6&lt;&gt;"",Consumo!G6&lt;&gt;""),Consumo!L6/Consumo!G6,IF(AND(N19&gt;0,N20&gt;0,N19&lt;&gt;"",N20&lt;&gt;""),(N19-N20)/N19,""))</f>
        <v/>
      </c>
    </row>
    <row r="13" spans="1:97" s="74" customFormat="1" ht="3" customHeight="1" x14ac:dyDescent="0.25">
      <c r="B13" s="84"/>
      <c r="C13" s="85"/>
      <c r="D13" s="86"/>
      <c r="E13" s="87"/>
      <c r="F13" s="86"/>
      <c r="G13" s="87"/>
      <c r="H13" s="72"/>
      <c r="I13" s="87"/>
      <c r="J13" s="87"/>
      <c r="K13" s="85"/>
      <c r="L13" s="107"/>
      <c r="M13" s="85"/>
      <c r="N13" s="107"/>
      <c r="O13" s="107"/>
    </row>
    <row r="14" spans="1:97" ht="50.25" customHeight="1" x14ac:dyDescent="0.25">
      <c r="A14" s="78"/>
      <c r="B14" s="145" t="s">
        <v>1178</v>
      </c>
      <c r="C14" s="155"/>
      <c r="D14" s="157"/>
      <c r="E14" s="104" t="str">
        <f>IF(AND(LEFT(RIGHT($I$4,3),1)="2",RIGHT($I$4,1)&lt;&gt;"d"),"",CONCATENATE("Material
"," reflexivo"))</f>
        <v>Material
 reflexivo</v>
      </c>
      <c r="F14" s="149"/>
      <c r="G14" s="158" t="str">
        <f>IF(OR($F$14="",$F$15=""),"",IF($F$15&gt;=0.85,"Cumple objeto","No cumple objeto"))</f>
        <v/>
      </c>
      <c r="H14" s="72"/>
      <c r="I14" s="105" t="s">
        <v>1089</v>
      </c>
      <c r="J14" s="155"/>
      <c r="K14" s="157"/>
      <c r="L14" s="114"/>
      <c r="M14" s="105" t="s">
        <v>1181</v>
      </c>
      <c r="N14" s="152" t="str">
        <f>IF(J14&lt;&gt;"",VLOOKUP($J$14,Municipio!$AB$2:$AC$8,2,FALSE),"")</f>
        <v/>
      </c>
      <c r="O14" s="72"/>
      <c r="P14" s="140"/>
    </row>
    <row r="15" spans="1:97" ht="48" customHeight="1" x14ac:dyDescent="0.25">
      <c r="A15" s="78"/>
      <c r="B15" s="145" t="str">
        <f>IF(AND(LEFT(RIGHT($I$4,3),1)="2",RIGHT($I$4,1)&lt;&gt;"d"),"",CONCATENATE("Material
"," aislante"))</f>
        <v>Material
 aislante</v>
      </c>
      <c r="C15" s="155"/>
      <c r="D15" s="156"/>
      <c r="E15" s="134" t="s">
        <v>1124</v>
      </c>
      <c r="F15" s="97"/>
      <c r="G15" s="159"/>
      <c r="H15" s="137"/>
      <c r="I15" s="145" t="s">
        <v>1182</v>
      </c>
      <c r="J15" s="95"/>
      <c r="K15" s="146" t="str">
        <f>IF(AND(J15&lt;&gt;"",I4&lt;&gt;""),IF(I4="A.1.2.a",IF(J15&gt;2.5,"No cumple la transmitancia del acristalamiento","Cumple"),IF(J15&gt;1.5,"No cumple la transmitancia del acristalamiento","Cumple")),"")</f>
        <v/>
      </c>
      <c r="L15" s="111"/>
      <c r="M15" s="145" t="s">
        <v>1096</v>
      </c>
      <c r="N15" s="98"/>
      <c r="O15" s="72"/>
    </row>
    <row r="16" spans="1:97" ht="4.5" customHeight="1" x14ac:dyDescent="0.25">
      <c r="A16" s="78"/>
      <c r="B16" s="72"/>
      <c r="C16" s="72"/>
      <c r="D16" s="85"/>
      <c r="E16" s="72"/>
      <c r="F16" s="72"/>
      <c r="G16" s="85"/>
      <c r="H16" s="72"/>
      <c r="I16" s="72"/>
      <c r="J16" s="72"/>
      <c r="K16" s="72"/>
      <c r="M16" s="72"/>
      <c r="N16" s="72"/>
      <c r="O16" s="72"/>
    </row>
    <row r="17" spans="1:15" ht="60" customHeight="1" x14ac:dyDescent="0.25">
      <c r="A17" s="78"/>
      <c r="B17" s="145" t="s">
        <v>1176</v>
      </c>
      <c r="C17" s="154" t="str">
        <f>IF(C15&lt;&gt;"",VLOOKUP($C$15,Municipio!V2:W17,2,FALSE),"")</f>
        <v/>
      </c>
      <c r="D17" s="145" t="s">
        <v>1177</v>
      </c>
      <c r="E17" s="145" t="s">
        <v>1179</v>
      </c>
      <c r="F17" s="145" t="s">
        <v>1180</v>
      </c>
      <c r="G17" s="145" t="s">
        <v>1183</v>
      </c>
      <c r="H17" s="72"/>
      <c r="I17" s="145" t="str">
        <f>IF(LEFT(I4,5)="A.1.3","Factor solar del material  de sombreamiento empleado combinado con el acristalamiento",IF(LEFT(I4,5)="A.1.2","Factor solar del acristalamiento",""))</f>
        <v/>
      </c>
      <c r="J17" s="95"/>
      <c r="K17" s="146" t="str">
        <f>IF(AND(J17&lt;&gt;"",I4&lt;&gt;""),IF(AND(J17&gt;=0.5,J17&lt;=0.6),"Cumple el objeto en orientaciones diferentes de S,E, S, SO y O",IF(J17&lt;0.5,"Cumple el objeto en cualquier orientación","No cumple el objeto")),"")</f>
        <v/>
      </c>
      <c r="L17" s="111"/>
      <c r="M17" s="105" t="s">
        <v>1216</v>
      </c>
      <c r="N17" s="95"/>
      <c r="O17" s="72"/>
    </row>
    <row r="18" spans="1:15" ht="46.5" customHeight="1" x14ac:dyDescent="0.25">
      <c r="A18" s="78"/>
      <c r="B18" s="145" t="s">
        <v>1175</v>
      </c>
      <c r="C18" s="95"/>
      <c r="D18" s="96" t="str">
        <f>IF(AND(C15&lt;&gt;"",C18&lt;&gt;"",C18&gt;0),C17/C18*1000,"")</f>
        <v/>
      </c>
      <c r="E18" s="96" t="str">
        <f>IF(D18&lt;&gt;"",1/D18,"")</f>
        <v/>
      </c>
      <c r="F18" s="96" t="str">
        <f>IF(AND(C4&lt;&gt;"",C5&lt;&gt;"",F4&lt;&gt;"",F5&lt;&gt;"",C14&lt;&gt;"",E18&lt;&gt;""),E18+1/VLOOKUP(LEFT($C$14,3),$A$8:$G$11,6,FALSE),IF(AND(C4&lt;&gt;"",C5&lt;&gt;"",F4&lt;&gt;"",F5&lt;&gt;"",C14&lt;&gt;"",E18=""),1/VLOOKUP(LEFT($C$14,3),$A$8:$G$11,6,FALSE),""))</f>
        <v/>
      </c>
      <c r="G18" s="96" t="str">
        <f>IF(OR(F18="",C4="",C5="",F4="",F5=""),"",1/F18)</f>
        <v/>
      </c>
      <c r="H18" s="72"/>
      <c r="I18" s="145" t="s">
        <v>1184</v>
      </c>
      <c r="J18" s="106" t="str">
        <f>IF(AND(N15&lt;&gt;"",J15&lt;&gt;"",N14&lt;&gt;"",J15&gt;0,N15&gt;0),N14*N15+J15*(1-N15),"")</f>
        <v/>
      </c>
      <c r="K18" s="94" t="str">
        <f>IF(AND($J$14&lt;&gt;"",$J$15&lt;&gt;"",$N$15&lt;&gt;"",$C$4&lt;&gt;"",$C$5&lt;&gt;"",$F$4&lt;&gt;"",$F$5&lt;&gt;""),IF(Cumplimiento!J18&lt;=C11,"Cumple CTE","No cumple CTE"),"")</f>
        <v/>
      </c>
      <c r="L18" s="113"/>
      <c r="M18" s="145" t="s">
        <v>1197</v>
      </c>
      <c r="N18" s="95"/>
      <c r="O18" s="146" t="str">
        <f>IF(AND(I4&lt;&gt;"",N17&lt;&gt;""),IF(LEFT(I4,5)="A.1.3",IF(N18&gt;1.5*N17,"La superficie del elemento del sombreamiento excede 1,5 veces la superficie acristalada objeto","Cumple"),""),"")</f>
        <v/>
      </c>
    </row>
    <row r="19" spans="1:15" ht="39" customHeight="1" x14ac:dyDescent="0.25">
      <c r="A19" s="78"/>
      <c r="B19" s="72"/>
      <c r="C19" s="72"/>
      <c r="D19" s="72"/>
      <c r="E19" s="151" t="str">
        <f>IF(AND($C$15&lt;&gt;Municipio!V2,$C$15&lt;&gt;Municipio!V3,$C$15&lt;&gt;"",E18&lt;&gt;""),IF(Cumplimiento!E18&gt;1.5,"Cumple","No cumple objeto"),"")</f>
        <v/>
      </c>
      <c r="G19" s="151" t="str">
        <f>IF(AND($C$14&lt;&gt;"",$C$15&lt;&gt;"",$C$18&lt;&gt;"",$C$18&gt;0),IF(Cumplimiento!G18&lt;=VLOOKUP(LEFT(C14,3),A8:G12,3,FALSE),"Cumple CTE","No cumple CTE"),IF(AND(C14&lt;&gt;"",C15=""),IF(Cumplimiento!G18&lt;=VLOOKUP(LEFT(C14,3),A8:G12,3,FALSE),"Cumple CTE","No cumple CTE"),""))</f>
        <v/>
      </c>
      <c r="H19" s="72"/>
      <c r="I19" s="72"/>
      <c r="J19" s="72"/>
      <c r="K19" s="146" t="str">
        <f>IF(AND($J$14&lt;&gt;"",$J$15&lt;&gt;"",$N$15&lt;&gt;"",$C$4&lt;&gt;"",$C$5&lt;&gt;"",$F$4&lt;&gt;"",$F$5&lt;&gt;""),IF(Cumplimiento!J18&lt;=D11,"Supera al menos el 20%","No alcanza el 20%"),"")</f>
        <v/>
      </c>
      <c r="L19" s="115"/>
      <c r="M19" s="145" t="s">
        <v>1214</v>
      </c>
      <c r="N19" s="144" t="str">
        <f>IF(AND(M8&gt;0,J9&gt;0,O9&gt;0,N17&gt;0,N18&gt;0,I8&gt;0,J8&gt;0),I12*J8/I8,"")</f>
        <v/>
      </c>
      <c r="O19" s="72"/>
    </row>
    <row r="20" spans="1:15" ht="38.25" customHeight="1" x14ac:dyDescent="0.25">
      <c r="A20" s="78"/>
      <c r="B20" s="72"/>
      <c r="C20" s="72"/>
      <c r="D20" s="72"/>
      <c r="E20" s="141" t="str">
        <f>Municipio!V2</f>
        <v>1.- Aislamiento cerámico líquido (pinturas cerámicas)</v>
      </c>
      <c r="F20" s="72"/>
      <c r="G20" s="151" t="str">
        <f>IF(AND($C$14&lt;&gt;"",$C$15&lt;&gt;"",$C$18&lt;&gt;"",$C$18&gt;0),IF(Cumplimiento!G18&lt;=VLOOKUP(LEFT(C14,3),A8:G12,4,FALSE),"Supera al menos el 20%","No supera al menos el 20%"),IF(AND($C$14&lt;&gt;"",$C$15=""),IF(Cumplimiento!G18&lt;=VLOOKUP(LEFT(C14,3),A8:G12,4,FALSE),"Supera al menos el 20%","No supera al menos el 20%"),""))</f>
        <v/>
      </c>
      <c r="H20" s="72"/>
      <c r="I20" s="72"/>
      <c r="J20" s="72"/>
      <c r="K20" s="146" t="str">
        <f>IF(AND($J$14&lt;&gt;"",$J$15&lt;&gt;"",$N$15&lt;&gt;"",$C$4&lt;&gt;"",$C$5&lt;&gt;"",$F$4&lt;&gt;"",$F$5&lt;&gt;""),IF(Cumplimiento!J18&lt;=E11,"Supera al menos el 25%","No alcanza el 25%"),"")</f>
        <v/>
      </c>
      <c r="L20" s="110"/>
      <c r="M20" s="145" t="s">
        <v>1215</v>
      </c>
      <c r="N20" s="144" t="str">
        <f>IF(AND(M8&gt;0,J9&gt;0,O9&gt;0,N17&gt;0,N18&gt;0,I8&gt;0,J8&gt;0),Consumo!J13,"")</f>
        <v/>
      </c>
      <c r="O20" s="72"/>
    </row>
    <row r="21" spans="1:15" ht="35.25" customHeight="1" x14ac:dyDescent="0.25">
      <c r="A21" s="78"/>
      <c r="B21" s="72" t="str">
        <f>IF(AND($J$14&lt;&gt;"",$J$15&lt;&gt;"",$N$15&lt;&gt;"",$C$4&lt;&gt;"",$C$5&lt;&gt;"",$F$4&lt;&gt;"",$F$5&lt;&gt;""),IF(Cumplimiento!J18&lt;=C11,0,1),"")</f>
        <v/>
      </c>
      <c r="C21" s="72"/>
      <c r="D21" s="72"/>
      <c r="E21" s="142" t="str">
        <f>Municipio!V3</f>
        <v>2.- Aislante reflexivo multicapa</v>
      </c>
      <c r="F21" s="72"/>
      <c r="G21" s="151" t="str">
        <f>IF(AND($C$14&lt;&gt;"",$C$15&lt;&gt;"",$C$18&lt;&gt;"",$C$18&gt;0),IF(Cumplimiento!G18&lt;=VLOOKUP(LEFT(C14,3),A8:G12,5,FALSE),"Supera al menos el 25%","No alcanza el 25%"),IF(AND($C$14&lt;&gt;"",$C$15=""),IF(Cumplimiento!G18&lt;=VLOOKUP(LEFT(C14,3),A8:G12,5,FALSE),"Supera al menos el 25%","No alcanza el 25%"),""))</f>
        <v/>
      </c>
      <c r="H21" s="72"/>
      <c r="I21" s="72"/>
      <c r="J21" s="72"/>
      <c r="K21" s="72"/>
      <c r="M21" s="72"/>
      <c r="N21" s="72"/>
      <c r="O21" s="72"/>
    </row>
    <row r="22" spans="1:15" x14ac:dyDescent="0.25">
      <c r="B22" s="72"/>
      <c r="C22" s="72"/>
      <c r="D22" s="72"/>
      <c r="E22" s="72"/>
      <c r="F22" s="72"/>
      <c r="G22" s="72"/>
      <c r="H22" s="72"/>
      <c r="I22" s="72"/>
      <c r="J22" s="72"/>
      <c r="K22" s="72"/>
      <c r="M22" s="72"/>
      <c r="N22" s="72"/>
      <c r="O22" s="72"/>
    </row>
    <row r="23" spans="1:15" x14ac:dyDescent="0.25">
      <c r="B23" s="72"/>
      <c r="C23" s="72"/>
      <c r="D23" s="72"/>
      <c r="E23" s="72"/>
      <c r="F23" s="72"/>
      <c r="G23" s="72"/>
      <c r="H23" s="72"/>
      <c r="I23" s="72"/>
      <c r="J23" s="72"/>
      <c r="K23" s="72"/>
      <c r="M23" s="72"/>
      <c r="N23" s="72"/>
      <c r="O23" s="72"/>
    </row>
    <row r="24" spans="1:15" x14ac:dyDescent="0.25">
      <c r="B24" s="72"/>
      <c r="C24" s="72"/>
      <c r="D24" s="72"/>
      <c r="E24" s="72"/>
      <c r="F24" s="72"/>
      <c r="G24" s="72"/>
      <c r="H24" s="72"/>
      <c r="I24" s="72"/>
      <c r="J24" s="72"/>
      <c r="K24" s="72"/>
      <c r="M24" s="72"/>
      <c r="N24" s="72"/>
      <c r="O24" s="72"/>
    </row>
    <row r="25" spans="1:15" x14ac:dyDescent="0.25">
      <c r="B25" s="72"/>
      <c r="C25" s="72"/>
      <c r="D25" s="72"/>
      <c r="E25" s="72"/>
      <c r="F25" s="72"/>
      <c r="G25" s="72"/>
      <c r="H25" s="72"/>
      <c r="I25" s="72"/>
      <c r="J25" s="72"/>
      <c r="K25" s="72"/>
      <c r="M25" s="72"/>
      <c r="N25" s="72"/>
      <c r="O25" s="72"/>
    </row>
    <row r="26" spans="1:15" x14ac:dyDescent="0.25">
      <c r="B26" s="72"/>
      <c r="C26" s="72"/>
      <c r="D26" s="72"/>
      <c r="E26" s="72"/>
      <c r="F26" s="72"/>
      <c r="G26" s="72"/>
      <c r="H26" s="72"/>
      <c r="I26" s="72"/>
      <c r="J26" s="72"/>
      <c r="K26" s="72"/>
      <c r="M26" s="72"/>
      <c r="N26" s="72"/>
      <c r="O26" s="72"/>
    </row>
    <row r="27" spans="1:15" x14ac:dyDescent="0.25">
      <c r="B27" s="72"/>
      <c r="C27" s="72"/>
      <c r="D27" s="72"/>
      <c r="E27" s="72"/>
      <c r="F27" s="72"/>
      <c r="G27" s="72"/>
      <c r="H27" s="72"/>
      <c r="I27" s="72"/>
      <c r="J27" s="72"/>
      <c r="K27" s="72"/>
      <c r="M27" s="72"/>
      <c r="N27" s="72"/>
      <c r="O27" s="72"/>
    </row>
    <row r="28" spans="1:15" x14ac:dyDescent="0.25">
      <c r="B28" s="72"/>
      <c r="C28" s="72"/>
      <c r="D28" s="72"/>
      <c r="E28" s="72"/>
      <c r="F28" s="72"/>
      <c r="G28" s="72"/>
      <c r="H28" s="72"/>
      <c r="I28" s="72"/>
      <c r="J28" s="72"/>
      <c r="K28" s="72"/>
      <c r="M28" s="72"/>
      <c r="N28" s="72"/>
      <c r="O28" s="72"/>
    </row>
    <row r="29" spans="1:15" x14ac:dyDescent="0.25">
      <c r="B29" s="72"/>
      <c r="C29" s="72"/>
      <c r="D29" s="72"/>
      <c r="E29" s="72"/>
      <c r="F29" s="72"/>
      <c r="G29" s="72"/>
      <c r="H29" s="72"/>
      <c r="I29" s="72"/>
      <c r="J29" s="72"/>
      <c r="K29" s="72"/>
      <c r="M29" s="72"/>
      <c r="N29" s="72"/>
      <c r="O29" s="72"/>
    </row>
    <row r="30" spans="1:15" x14ac:dyDescent="0.25">
      <c r="B30" s="72"/>
      <c r="C30" s="72"/>
      <c r="D30" s="72"/>
      <c r="E30" s="72"/>
      <c r="F30" s="72"/>
      <c r="G30" s="72"/>
      <c r="H30" s="72"/>
      <c r="I30" s="72"/>
      <c r="J30" s="72"/>
      <c r="K30" s="72"/>
      <c r="M30" s="72"/>
      <c r="N30" s="72"/>
      <c r="O30" s="72"/>
    </row>
    <row r="31" spans="1:15" x14ac:dyDescent="0.25">
      <c r="B31" s="72"/>
      <c r="C31" s="72"/>
      <c r="D31" s="72"/>
      <c r="E31" s="72"/>
      <c r="F31" s="72"/>
      <c r="G31" s="72"/>
      <c r="H31" s="72"/>
      <c r="I31" s="72"/>
      <c r="J31" s="72"/>
      <c r="K31" s="72"/>
      <c r="M31" s="72"/>
      <c r="N31" s="72"/>
      <c r="O31" s="72"/>
    </row>
    <row r="32" spans="1:15" x14ac:dyDescent="0.25">
      <c r="B32" s="72"/>
      <c r="C32" s="72"/>
      <c r="D32" s="72"/>
      <c r="E32" s="72"/>
      <c r="F32" s="72"/>
      <c r="G32" s="72"/>
      <c r="H32" s="72"/>
      <c r="I32" s="72"/>
      <c r="J32" s="72"/>
      <c r="K32" s="72"/>
      <c r="M32" s="72"/>
      <c r="N32" s="72"/>
      <c r="O32" s="72"/>
    </row>
    <row r="33" spans="2:15" x14ac:dyDescent="0.25">
      <c r="B33" s="72"/>
      <c r="C33" s="72"/>
      <c r="D33" s="72"/>
      <c r="E33" s="72"/>
      <c r="F33" s="72"/>
      <c r="G33" s="72"/>
      <c r="H33" s="72"/>
      <c r="I33" s="72"/>
      <c r="J33" s="72"/>
      <c r="K33" s="72"/>
      <c r="M33" s="72"/>
      <c r="N33" s="72"/>
      <c r="O33" s="72"/>
    </row>
    <row r="34" spans="2:15" x14ac:dyDescent="0.25">
      <c r="B34" s="72"/>
      <c r="C34" s="72"/>
      <c r="D34" s="72"/>
      <c r="E34" s="72"/>
      <c r="F34" s="72"/>
      <c r="G34" s="72"/>
      <c r="H34" s="72"/>
      <c r="I34" s="72"/>
      <c r="J34" s="72"/>
      <c r="K34" s="72"/>
      <c r="M34" s="72"/>
      <c r="N34" s="72"/>
      <c r="O34" s="72"/>
    </row>
    <row r="35" spans="2:15" x14ac:dyDescent="0.25">
      <c r="B35" s="72"/>
      <c r="C35" s="72"/>
      <c r="D35" s="72"/>
      <c r="E35" s="72"/>
      <c r="F35" s="72"/>
      <c r="G35" s="72"/>
      <c r="H35" s="72"/>
      <c r="I35" s="72"/>
      <c r="J35" s="72"/>
      <c r="K35" s="72"/>
      <c r="M35" s="72"/>
      <c r="N35" s="72"/>
      <c r="O35" s="72"/>
    </row>
    <row r="36" spans="2:15" x14ac:dyDescent="0.25">
      <c r="B36" s="72"/>
      <c r="C36" s="72"/>
      <c r="D36" s="72"/>
      <c r="E36" s="72"/>
      <c r="F36" s="72"/>
      <c r="G36" s="72"/>
      <c r="H36" s="72"/>
      <c r="I36" s="72"/>
      <c r="J36" s="72"/>
      <c r="K36" s="72"/>
      <c r="M36" s="72"/>
      <c r="N36" s="72"/>
      <c r="O36" s="72"/>
    </row>
    <row r="37" spans="2:15" x14ac:dyDescent="0.25">
      <c r="B37" s="72"/>
      <c r="C37" s="72"/>
      <c r="D37" s="72"/>
      <c r="E37" s="72"/>
      <c r="F37" s="72"/>
      <c r="G37" s="72"/>
      <c r="H37" s="72"/>
      <c r="I37" s="72"/>
      <c r="J37" s="72"/>
      <c r="K37" s="72"/>
      <c r="M37" s="72"/>
      <c r="N37" s="72"/>
      <c r="O37" s="72"/>
    </row>
    <row r="38" spans="2:15" x14ac:dyDescent="0.25">
      <c r="B38" s="72"/>
      <c r="C38" s="72"/>
      <c r="D38" s="72"/>
      <c r="E38" s="72"/>
      <c r="F38" s="72"/>
      <c r="G38" s="72"/>
      <c r="H38" s="72"/>
      <c r="I38" s="72"/>
      <c r="J38" s="72"/>
      <c r="K38" s="72"/>
      <c r="M38" s="72"/>
      <c r="N38" s="72"/>
      <c r="O38" s="72"/>
    </row>
    <row r="39" spans="2:15" x14ac:dyDescent="0.25">
      <c r="B39" s="72"/>
      <c r="C39" s="72"/>
      <c r="D39" s="72"/>
      <c r="E39" s="72"/>
      <c r="F39" s="72"/>
      <c r="G39" s="72"/>
      <c r="H39" s="72"/>
      <c r="I39" s="72"/>
      <c r="J39" s="72"/>
      <c r="K39" s="72"/>
      <c r="M39" s="72"/>
      <c r="N39" s="72"/>
      <c r="O39" s="72"/>
    </row>
    <row r="40" spans="2:15" x14ac:dyDescent="0.25">
      <c r="B40" s="72"/>
      <c r="C40" s="72"/>
      <c r="D40" s="72"/>
      <c r="E40" s="72"/>
      <c r="F40" s="72"/>
      <c r="G40" s="72"/>
      <c r="H40" s="72"/>
      <c r="I40" s="72"/>
      <c r="J40" s="72"/>
      <c r="K40" s="72"/>
      <c r="M40" s="72"/>
      <c r="N40" s="72"/>
      <c r="O40" s="72"/>
    </row>
    <row r="41" spans="2:15" x14ac:dyDescent="0.25">
      <c r="B41" s="72"/>
      <c r="C41" s="72"/>
      <c r="D41" s="72"/>
      <c r="E41" s="72"/>
      <c r="F41" s="72"/>
      <c r="G41" s="72"/>
      <c r="H41" s="72"/>
      <c r="I41" s="72"/>
      <c r="J41" s="72"/>
      <c r="K41" s="72"/>
      <c r="M41" s="72"/>
      <c r="N41" s="72"/>
      <c r="O41" s="72"/>
    </row>
    <row r="42" spans="2:15" x14ac:dyDescent="0.25">
      <c r="B42" s="72"/>
      <c r="C42" s="72"/>
      <c r="D42" s="72"/>
      <c r="E42" s="72"/>
      <c r="F42" s="72"/>
      <c r="G42" s="72"/>
      <c r="H42" s="72"/>
      <c r="I42" s="72"/>
      <c r="J42" s="72"/>
      <c r="K42" s="72"/>
      <c r="M42" s="72"/>
      <c r="N42" s="72"/>
      <c r="O42" s="72"/>
    </row>
    <row r="43" spans="2:15" x14ac:dyDescent="0.25">
      <c r="B43" s="72"/>
      <c r="C43" s="72"/>
      <c r="D43" s="72"/>
      <c r="E43" s="72"/>
      <c r="F43" s="72"/>
      <c r="G43" s="72"/>
      <c r="H43" s="72"/>
      <c r="I43" s="72"/>
      <c r="J43" s="72"/>
      <c r="K43" s="72"/>
      <c r="M43" s="72"/>
      <c r="N43" s="72"/>
      <c r="O43" s="72"/>
    </row>
    <row r="44" spans="2:15" x14ac:dyDescent="0.25">
      <c r="B44" s="72"/>
      <c r="C44" s="72"/>
      <c r="D44" s="72"/>
      <c r="E44" s="72"/>
      <c r="F44" s="72"/>
      <c r="G44" s="72"/>
      <c r="H44" s="72"/>
      <c r="I44" s="72"/>
      <c r="J44" s="72"/>
      <c r="K44" s="72"/>
      <c r="M44" s="72"/>
      <c r="N44" s="72"/>
      <c r="O44" s="72"/>
    </row>
    <row r="45" spans="2:15" x14ac:dyDescent="0.25">
      <c r="B45" s="72"/>
      <c r="C45" s="72"/>
      <c r="D45" s="72"/>
      <c r="E45" s="72"/>
      <c r="F45" s="72"/>
      <c r="G45" s="72"/>
      <c r="H45" s="72"/>
      <c r="I45" s="72"/>
      <c r="J45" s="72"/>
      <c r="K45" s="72"/>
      <c r="M45" s="72"/>
      <c r="N45" s="72"/>
      <c r="O45" s="72"/>
    </row>
    <row r="46" spans="2:15" x14ac:dyDescent="0.25">
      <c r="B46" s="72"/>
      <c r="C46" s="72"/>
      <c r="D46" s="72"/>
      <c r="E46" s="72"/>
      <c r="F46" s="72"/>
      <c r="G46" s="72"/>
      <c r="H46" s="72"/>
      <c r="I46" s="72"/>
      <c r="J46" s="72"/>
      <c r="K46" s="72"/>
      <c r="M46" s="72"/>
      <c r="N46" s="72"/>
      <c r="O46" s="72"/>
    </row>
    <row r="47" spans="2:15" x14ac:dyDescent="0.25">
      <c r="B47" s="72"/>
      <c r="C47" s="72"/>
      <c r="D47" s="72"/>
      <c r="E47" s="72"/>
      <c r="F47" s="72"/>
      <c r="G47" s="72"/>
      <c r="H47" s="72"/>
      <c r="I47" s="72"/>
      <c r="J47" s="72"/>
      <c r="K47" s="72"/>
      <c r="M47" s="72"/>
      <c r="N47" s="72"/>
      <c r="O47" s="72"/>
    </row>
    <row r="48" spans="2:15" x14ac:dyDescent="0.25">
      <c r="B48" s="72"/>
      <c r="C48" s="72"/>
      <c r="D48" s="72"/>
      <c r="E48" s="72"/>
      <c r="F48" s="72"/>
      <c r="G48" s="72"/>
      <c r="H48" s="72"/>
      <c r="I48" s="72"/>
      <c r="J48" s="72"/>
      <c r="K48" s="72"/>
      <c r="M48" s="72"/>
      <c r="N48" s="72"/>
      <c r="O48" s="72"/>
    </row>
    <row r="49" spans="2:15" x14ac:dyDescent="0.25">
      <c r="B49" s="72"/>
      <c r="C49" s="72"/>
      <c r="D49" s="72"/>
      <c r="E49" s="72"/>
      <c r="F49" s="72"/>
      <c r="G49" s="72"/>
      <c r="H49" s="72"/>
      <c r="I49" s="72"/>
      <c r="J49" s="72"/>
      <c r="K49" s="72"/>
      <c r="M49" s="72"/>
      <c r="N49" s="72"/>
      <c r="O49" s="72"/>
    </row>
    <row r="50" spans="2:15" x14ac:dyDescent="0.25">
      <c r="B50" s="72"/>
      <c r="C50" s="72"/>
      <c r="D50" s="72"/>
      <c r="E50" s="72"/>
      <c r="F50" s="72"/>
      <c r="G50" s="72"/>
      <c r="H50" s="72"/>
      <c r="I50" s="72"/>
      <c r="J50" s="72"/>
      <c r="K50" s="72"/>
      <c r="M50" s="72"/>
      <c r="N50" s="72"/>
      <c r="O50" s="72"/>
    </row>
    <row r="51" spans="2:15" x14ac:dyDescent="0.25">
      <c r="B51" s="72"/>
      <c r="C51" s="72"/>
      <c r="D51" s="72"/>
      <c r="E51" s="72"/>
      <c r="F51" s="72"/>
      <c r="G51" s="72"/>
      <c r="H51" s="72"/>
      <c r="I51" s="72"/>
      <c r="J51" s="72"/>
      <c r="K51" s="72"/>
      <c r="M51" s="72"/>
      <c r="N51" s="72"/>
      <c r="O51" s="72"/>
    </row>
    <row r="52" spans="2:15" x14ac:dyDescent="0.25">
      <c r="B52" s="72"/>
      <c r="C52" s="72"/>
      <c r="D52" s="72"/>
      <c r="E52" s="72"/>
      <c r="F52" s="72"/>
      <c r="G52" s="72"/>
      <c r="H52" s="72"/>
      <c r="I52" s="72"/>
      <c r="J52" s="72"/>
      <c r="K52" s="72"/>
      <c r="M52" s="72"/>
      <c r="N52" s="72"/>
      <c r="O52" s="72"/>
    </row>
    <row r="53" spans="2:15" x14ac:dyDescent="0.25">
      <c r="B53" s="72"/>
      <c r="C53" s="72"/>
      <c r="D53" s="72"/>
      <c r="E53" s="72"/>
      <c r="F53" s="72"/>
      <c r="G53" s="72"/>
      <c r="H53" s="72"/>
      <c r="I53" s="72"/>
      <c r="J53" s="72"/>
      <c r="K53" s="72"/>
      <c r="M53" s="72"/>
      <c r="N53" s="72"/>
      <c r="O53" s="72"/>
    </row>
    <row r="54" spans="2:15" x14ac:dyDescent="0.25">
      <c r="B54" s="72"/>
      <c r="C54" s="72"/>
      <c r="D54" s="72"/>
      <c r="E54" s="72"/>
      <c r="F54" s="72"/>
      <c r="G54" s="72"/>
      <c r="H54" s="72"/>
      <c r="I54" s="72"/>
      <c r="J54" s="72"/>
      <c r="K54" s="72"/>
      <c r="M54" s="72"/>
      <c r="N54" s="72"/>
      <c r="O54" s="72"/>
    </row>
    <row r="55" spans="2:15" x14ac:dyDescent="0.25">
      <c r="B55" s="72"/>
      <c r="C55" s="72"/>
      <c r="D55" s="72"/>
      <c r="E55" s="72"/>
      <c r="F55" s="72"/>
      <c r="G55" s="72"/>
      <c r="H55" s="72"/>
      <c r="I55" s="72"/>
      <c r="J55" s="72"/>
      <c r="K55" s="72"/>
      <c r="M55" s="72"/>
      <c r="N55" s="72"/>
      <c r="O55" s="72"/>
    </row>
    <row r="56" spans="2:15" x14ac:dyDescent="0.25">
      <c r="B56" s="72"/>
      <c r="C56" s="72"/>
      <c r="D56" s="72"/>
      <c r="E56" s="72"/>
      <c r="F56" s="72"/>
      <c r="G56" s="72"/>
      <c r="H56" s="72"/>
      <c r="I56" s="72"/>
      <c r="J56" s="72"/>
      <c r="K56" s="72"/>
      <c r="M56" s="72"/>
      <c r="N56" s="72"/>
      <c r="O56" s="72"/>
    </row>
    <row r="57" spans="2:15" x14ac:dyDescent="0.25">
      <c r="B57" s="72"/>
      <c r="C57" s="72"/>
      <c r="D57" s="72"/>
      <c r="E57" s="72"/>
      <c r="F57" s="72"/>
      <c r="G57" s="72"/>
      <c r="H57" s="72"/>
      <c r="I57" s="72"/>
      <c r="J57" s="72"/>
      <c r="K57" s="72"/>
      <c r="M57" s="72"/>
      <c r="N57" s="72"/>
      <c r="O57" s="72"/>
    </row>
    <row r="58" spans="2:15" x14ac:dyDescent="0.25">
      <c r="B58" s="72"/>
      <c r="C58" s="72"/>
      <c r="D58" s="72"/>
      <c r="E58" s="72"/>
      <c r="F58" s="72"/>
      <c r="G58" s="72"/>
      <c r="H58" s="72"/>
      <c r="I58" s="72"/>
      <c r="J58" s="72"/>
      <c r="K58" s="72"/>
      <c r="M58" s="72"/>
      <c r="N58" s="72"/>
      <c r="O58" s="72"/>
    </row>
    <row r="59" spans="2:15" x14ac:dyDescent="0.25">
      <c r="B59" s="72"/>
      <c r="C59" s="72"/>
      <c r="D59" s="72"/>
      <c r="E59" s="72"/>
      <c r="F59" s="72"/>
      <c r="G59" s="72"/>
      <c r="H59" s="72"/>
      <c r="I59" s="72"/>
      <c r="J59" s="72"/>
      <c r="K59" s="72"/>
      <c r="M59" s="72"/>
      <c r="N59" s="72"/>
      <c r="O59" s="72"/>
    </row>
    <row r="60" spans="2:15" x14ac:dyDescent="0.25">
      <c r="B60" s="72"/>
      <c r="C60" s="72"/>
      <c r="D60" s="72"/>
      <c r="E60" s="72"/>
      <c r="F60" s="72"/>
      <c r="G60" s="72"/>
      <c r="H60" s="72"/>
      <c r="I60" s="72"/>
      <c r="J60" s="72"/>
      <c r="K60" s="72"/>
      <c r="M60" s="72"/>
      <c r="N60" s="72"/>
      <c r="O60" s="72"/>
    </row>
    <row r="61" spans="2:15" x14ac:dyDescent="0.25">
      <c r="B61" s="72"/>
      <c r="C61" s="72"/>
      <c r="D61" s="72"/>
      <c r="E61" s="72"/>
      <c r="F61" s="72"/>
      <c r="G61" s="72"/>
      <c r="H61" s="72"/>
      <c r="I61" s="72"/>
      <c r="J61" s="72"/>
      <c r="K61" s="72"/>
      <c r="M61" s="72"/>
      <c r="N61" s="72"/>
      <c r="O61" s="72"/>
    </row>
    <row r="62" spans="2:15" x14ac:dyDescent="0.25">
      <c r="B62" s="72"/>
      <c r="C62" s="72"/>
      <c r="D62" s="72"/>
      <c r="E62" s="72"/>
      <c r="F62" s="72"/>
      <c r="G62" s="72"/>
      <c r="H62" s="72"/>
      <c r="I62" s="72"/>
      <c r="J62" s="72"/>
      <c r="K62" s="72"/>
      <c r="M62" s="72"/>
      <c r="N62" s="72"/>
      <c r="O62" s="72"/>
    </row>
    <row r="63" spans="2:15" x14ac:dyDescent="0.25">
      <c r="B63" s="72"/>
      <c r="C63" s="72"/>
      <c r="D63" s="72"/>
      <c r="E63" s="72"/>
      <c r="F63" s="72"/>
      <c r="G63" s="72"/>
      <c r="H63" s="72"/>
      <c r="I63" s="72"/>
      <c r="J63" s="72"/>
      <c r="K63" s="72"/>
      <c r="M63" s="72"/>
      <c r="N63" s="72"/>
      <c r="O63" s="72"/>
    </row>
  </sheetData>
  <sheetProtection algorithmName="SHA-512" hashValue="33FzFbi3jITkAA0WztIdrXAUm4m7EriAjcEbvszBhseT4Ww3Xx54MnM5NHV0+0xSZuDqumkFHM/GjzNIEy2Fqw==" saltValue="EYD2axMN/pd5g3PgbBWtIg==" spinCount="100000" sheet="1" objects="1" scenarios="1"/>
  <mergeCells count="19">
    <mergeCell ref="M4:O4"/>
    <mergeCell ref="M5:O5"/>
    <mergeCell ref="N7:O7"/>
    <mergeCell ref="N8:O8"/>
    <mergeCell ref="N9:N10"/>
    <mergeCell ref="O9:O10"/>
    <mergeCell ref="M9:M10"/>
    <mergeCell ref="C15:D15"/>
    <mergeCell ref="J14:K14"/>
    <mergeCell ref="G14:G15"/>
    <mergeCell ref="C5:D5"/>
    <mergeCell ref="C4:D4"/>
    <mergeCell ref="J4:K4"/>
    <mergeCell ref="F5:G5"/>
    <mergeCell ref="J5:K5"/>
    <mergeCell ref="C14:D14"/>
    <mergeCell ref="I9:I10"/>
    <mergeCell ref="J9:J10"/>
    <mergeCell ref="K9:K10"/>
  </mergeCells>
  <conditionalFormatting sqref="N9:O9">
    <cfRule type="expression" dxfId="23" priority="267">
      <formula>IF($I$4&lt;&gt;"",IF(OR(LEFT(RIGHT($I$4,3),1)="2",LEFT(RIGHT($I$4,3),1)="3"),0,1),0)</formula>
    </cfRule>
  </conditionalFormatting>
  <conditionalFormatting sqref="K9:M9">
    <cfRule type="expression" dxfId="22" priority="268">
      <formula>IF(AND(LEFT(RIGHT($I$4,3),1)="2",RIGHT($I$4,1)&lt;&gt;"d"),1,0)</formula>
    </cfRule>
  </conditionalFormatting>
  <conditionalFormatting sqref="G15 C16:D16 D14 B17 B14:C15 G14 D17:D18 E17:E19 G17:G21 B18:C18 E14:F15 F17:F18">
    <cfRule type="expression" dxfId="21" priority="1" stopIfTrue="1">
      <formula>IF(OR(AND(LEFT(RIGHT($I$4,3),1)="2",RIGHT($I$4,1)&lt;&gt;"d"),(LEFT(RIGHT($I$4,3),1)="3")),1,0)</formula>
    </cfRule>
  </conditionalFormatting>
  <conditionalFormatting sqref="G14">
    <cfRule type="expression" dxfId="20" priority="19">
      <formula>IF(OR(AND(LEFT(RIGHT($I$4,3),1)="2",RIGHT($I$4,1)&lt;&gt;"d"),(LEFT(RIGHT($I$4,3),1)="3")),1,0)</formula>
    </cfRule>
    <cfRule type="expression" dxfId="19" priority="22">
      <formula>IF(OR($F$14="",$F$15=""),"",IF($F$15&gt;=0.85,0,1))</formula>
    </cfRule>
  </conditionalFormatting>
  <conditionalFormatting sqref="G19">
    <cfRule type="expression" dxfId="18" priority="23">
      <formula>IF(G19 ="No cumple CTE",1,0)</formula>
    </cfRule>
  </conditionalFormatting>
  <conditionalFormatting sqref="G21">
    <cfRule type="expression" dxfId="0" priority="24">
      <formula>IF(G21="No alcanza el 25%",1,0)</formula>
    </cfRule>
  </conditionalFormatting>
  <conditionalFormatting sqref="G20">
    <cfRule type="expression" dxfId="17" priority="25">
      <formula>IF(G20="No supera al menos el 20%",1,0)</formula>
    </cfRule>
  </conditionalFormatting>
  <conditionalFormatting sqref="C17">
    <cfRule type="expression" dxfId="16" priority="20">
      <formula>IF(OR(AND(LEFT(RIGHT($I$4,3),1)="2",RIGHT($I$4,1)&lt;&gt;"d"),(LEFT(RIGHT($I$4,3),1)="3")),1,0)</formula>
    </cfRule>
  </conditionalFormatting>
  <conditionalFormatting sqref="D16">
    <cfRule type="expression" dxfId="15" priority="18">
      <formula>IF(AND(LEFT(RIGHT($I$4,3),1)="2",RIGHT($I$4,1)&lt;&gt;"d"),1,0)</formula>
    </cfRule>
  </conditionalFormatting>
  <conditionalFormatting sqref="I14:K15 I17:K20">
    <cfRule type="expression" dxfId="14" priority="4" stopIfTrue="1">
      <formula>IF($I$4&lt;&gt;"",IF(LEFT(RIGHT($I$4,3),1)="2",0,1),0)</formula>
    </cfRule>
  </conditionalFormatting>
  <conditionalFormatting sqref="M17:O20">
    <cfRule type="expression" dxfId="13" priority="13">
      <formula>IF($I$4&lt;&gt;"",IF(LEFT(RIGHT($I$4,3),1)="3",0,1),0)</formula>
    </cfRule>
  </conditionalFormatting>
  <conditionalFormatting sqref="K20">
    <cfRule type="expression" dxfId="12" priority="15">
      <formula>IF(AND($J$14&lt;&gt;"",$J$15&lt;&gt;"",$N$15&lt;&gt;"",$C$4&lt;&gt;"",$C$5&lt;&gt;"",$F$4&lt;&gt;"",$F$5&lt;&gt;""),IF(J18&lt;=E11,0,1),0)</formula>
    </cfRule>
  </conditionalFormatting>
  <conditionalFormatting sqref="O18">
    <cfRule type="expression" dxfId="11" priority="16">
      <formula>IF(AND(I4&lt;&gt;"",N17&lt;&gt;""),IF(LEFT(I4,5)="A.1.3",IF(N18&gt;1.5*N17,1,0),0),0)</formula>
    </cfRule>
  </conditionalFormatting>
  <conditionalFormatting sqref="M14:N14">
    <cfRule type="expression" dxfId="10" priority="12">
      <formula>IF($I$4&lt;&gt;"",IF(LEFT(RIGHT($I$4,3),1)="2",0,1),0)</formula>
    </cfRule>
  </conditionalFormatting>
  <conditionalFormatting sqref="M15:N15">
    <cfRule type="expression" dxfId="9" priority="11">
      <formula>IF($I$4&lt;&gt;"",IF(LEFT(RIGHT($I$4,3),1)="2",0,1),0)</formula>
    </cfRule>
  </conditionalFormatting>
  <conditionalFormatting sqref="M19">
    <cfRule type="expression" dxfId="8" priority="9">
      <formula>IF($I$4&lt;&gt;"",IF(LEFT(RIGHT($I$4,3),1)="3",0,1),0)</formula>
    </cfRule>
  </conditionalFormatting>
  <conditionalFormatting sqref="M20">
    <cfRule type="expression" dxfId="7" priority="8">
      <formula>IF($I$4&lt;&gt;"",IF(LEFT(RIGHT($I$4,3),1)="3",0,1),0)</formula>
    </cfRule>
  </conditionalFormatting>
  <conditionalFormatting sqref="K15">
    <cfRule type="expression" dxfId="6" priority="14">
      <formula>IF(AND(J15&lt;&gt;"",I4&lt;&gt;""),IF(I4="A.1.2.a",IF(J15&gt;2.5,1,0),IF(J15&gt;1.5,1,0)),"")</formula>
    </cfRule>
  </conditionalFormatting>
  <conditionalFormatting sqref="K17">
    <cfRule type="expression" dxfId="5" priority="6">
      <formula>IF(AND(J17&lt;&gt;"",I4&lt;&gt;""),IF(AND(J17&gt;=0.5,J17&lt;=0.6),0,IF(J17&lt;0.5,0,1)),"")</formula>
    </cfRule>
  </conditionalFormatting>
  <conditionalFormatting sqref="K19">
    <cfRule type="expression" dxfId="4" priority="7">
      <formula>IF(AND($J$14&lt;&gt;"",$J$15&lt;&gt;"",$N$15&lt;&gt;"",$C$4&lt;&gt;"",$C$5&lt;&gt;"",$F$4&lt;&gt;"",$F$5&lt;&gt;""),IF(J18&lt;=D11,0,1),"")</formula>
    </cfRule>
  </conditionalFormatting>
  <conditionalFormatting sqref="K18">
    <cfRule type="expression" dxfId="3" priority="5">
      <formula>IF(AND($J$14&lt;&gt;"",$J$15&lt;&gt;"",$N$15&lt;&gt;"",$C$4&lt;&gt;"",$C$5&lt;&gt;"",$F$4&lt;&gt;"",$F$5&lt;&gt;""),IF(J18&lt;=C11,0,1),"")</formula>
    </cfRule>
  </conditionalFormatting>
  <conditionalFormatting sqref="E19">
    <cfRule type="expression" dxfId="2" priority="17">
      <formula>IF(AND($C$15&lt;&gt;E20,$C$15&lt;&gt;E21,$C$15&lt;&gt;"",E18&lt;&gt;""),IF(E18&gt;1.5,0,1),"")</formula>
    </cfRule>
  </conditionalFormatting>
  <dataValidations xWindow="1577" yWindow="528" count="20">
    <dataValidation type="list" allowBlank="1" showInputMessage="1" showErrorMessage="1" sqref="C4">
      <formula1>"Almería, Cádiz, Córdoba, Granada, Huelva, Jaén, Málaga, Sevilla"</formula1>
    </dataValidation>
    <dataValidation type="list" allowBlank="1" showInputMessage="1" showErrorMessage="1" sqref="F4">
      <formula1>Tipo</formula1>
    </dataValidation>
    <dataValidation type="list" allowBlank="1" showInputMessage="1" showErrorMessage="1" sqref="F5">
      <formula1>Periodo</formula1>
    </dataValidation>
    <dataValidation type="list" allowBlank="1" showInputMessage="1" showErrorMessage="1" sqref="C5:D5">
      <formula1>Municipio</formula1>
    </dataValidation>
    <dataValidation type="list" allowBlank="1" showInputMessage="1" showErrorMessage="1" sqref="C16">
      <formula1>Aislante</formula1>
    </dataValidation>
    <dataValidation type="list" allowBlank="1" showInputMessage="1" showErrorMessage="1" sqref="C14:D14">
      <formula1>Epidermis</formula1>
    </dataValidation>
    <dataValidation type="list" allowBlank="1" showInputMessage="1" showErrorMessage="1" sqref="I4">
      <formula1>Categoria</formula1>
    </dataValidation>
    <dataValidation type="list" allowBlank="1" showInputMessage="1" showErrorMessage="1" sqref="F14">
      <formula1>AislanteReflexivo</formula1>
    </dataValidation>
    <dataValidation errorStyle="warning" operator="greaterThan" showInputMessage="1" showErrorMessage="1" errorTitle="Superficie_E" error="La superficie útil del espacio o recinto afectado por la actuación no puede ser menor o igual a 0 metros cuadrados" sqref="N7:N8 N11:O12 I11:L12"/>
    <dataValidation type="decimal" allowBlank="1" showInputMessage="1" showErrorMessage="1" sqref="C17">
      <formula1>0</formula1>
      <formula2>1</formula2>
    </dataValidation>
    <dataValidation type="decimal" allowBlank="1" showInputMessage="1" showErrorMessage="1" error="El valor del espesor ha de ser un valor positivo" sqref="C18">
      <formula1>1</formula1>
      <formula2>1000</formula2>
    </dataValidation>
    <dataValidation type="decimal" allowBlank="1" showInputMessage="1" showErrorMessage="1" error="El valor ha de estar comprendido entre el 0 y el 100%. El cumplimiento del objeto establece un valor mínimo del 85%" sqref="F15:F16">
      <formula1>0</formula1>
      <formula2>1</formula2>
    </dataValidation>
    <dataValidation type="decimal" allowBlank="1" showInputMessage="1" showErrorMessage="1" error="El porcentaje del marco no puede ser negativo._x000a_El porcentaje del marco no puede abarcar la totalidad del hueco." promptTitle="Limitaciones % marco" prompt="El porcentaje del marco no puede ser negativo._x000a_El porcentaje del marco no puede abarcar la totalidad del hueco." sqref="N15:N16">
      <formula1>0</formula1>
      <formula2>0.99</formula2>
    </dataValidation>
    <dataValidation type="decimal" showInputMessage="1" showErrorMessage="1" errorTitle="SuperficieH" error="1.- La suma de la superficie del cerramiento opaco y huecos sobre la que se actúa no puede ser superior a la superficie total del cerramiento._x000a_2.- Necesariamente mayor que 0 en A11 y A12d" sqref="O9">
      <formula1>0</formula1>
      <formula2>J9-M9</formula2>
    </dataValidation>
    <dataValidation type="decimal" allowBlank="1" showInputMessage="1" showErrorMessage="1" error="La superficie del cerramiento exterior no puede ser menor que la suma de las superficies objeto de la intervención. _x000a_Necesariamente la superficie ha de ser mayor o igual a cero" prompt="En esta casilla hay que indicar la superficie total de cerramiento exterior o de espacio en contacto con un recinto no acondicionado aunque no sean objeto de la intervención" sqref="J9">
      <formula1>M9+O9</formula1>
      <formula2>50000</formula2>
    </dataValidation>
    <dataValidation type="decimal" showInputMessage="1" showErrorMessage="1" errorTitle="SuperficieC" error="1.- La suma de la superficie del cerramiento opaco y huecos sobre la que se actúa no puede ser superior a la superficie total del cerramiento._x000a_2.- Necesariamente mayor que 0 en A11 y A12d" sqref="M9">
      <formula1>0</formula1>
      <formula2>J9-O9</formula2>
    </dataValidation>
    <dataValidation type="decimal" allowBlank="1" showInputMessage="1" showErrorMessage="1" error="En función de la orientación de la fachada objeto del acristalamiento, el máximo valor permitido será 0,5 ó 0,6" prompt="El factor solar del acristalamiento ha de estar comprendido entre 0 y 1. En función de la orientación de la fachada objeto del acristalamiento, el máximo valor permitido será 0,5 ó 0,6" sqref="J17">
      <formula1>0</formula1>
      <formula2>1</formula2>
    </dataValidation>
    <dataValidation type="decimal" allowBlank="1" showInputMessage="1" showErrorMessage="1" errorTitle="Superf Sombreamiento Error" error="La superficie ha de ser mayor a 0 metros cuadrados y no puede superar el valor indicado de Superficie total de los huecos en los que se ha intervenido, celda O9" promptTitle="Superficie acristalada sombreada" prompt="La superficie ha de ser mayor a 0 metros cuadrados y no puede superar el valor indicado de Superficie total de los huecos en los que se ha intervenido, celda O9" sqref="N17">
      <formula1>0</formula1>
      <formula2>O9</formula2>
    </dataValidation>
    <dataValidation type="list" showInputMessage="1" showErrorMessage="1" errorTitle="Aislantes" error="Le recordamos que debe elegir entre alguna de las opciones disponibles" promptTitle="Aislantes" prompt="Debe elegir entre una de las opciones disponibles" sqref="C15:D15">
      <formula1>Aislante</formula1>
    </dataValidation>
    <dataValidation type="list" showInputMessage="1" showErrorMessage="1" errorTitle="Carpinterias" error="Le recordamos que debe elegir entre alguna de las opciones disponibles" promptTitle="Carpinterías" prompt="Debe elegir entre alguna de las carpinterías listadas y si la transmitancia del marco de referencia no coincide con el valor real debe modificar el valor de la casilla N14" sqref="J14:K14">
      <formula1>carpinteria</formula1>
    </dataValidation>
  </dataValidations>
  <hyperlinks>
    <hyperlink ref="C7" r:id="rId1"/>
    <hyperlink ref="I7" r:id="rId2" display="http://www.minetad.gob.es/energia/desarrollo/EficienciaEnergetica/CertificacionEnergetica/DocumentosReconocidos/normativamodelosutilizacion/20151123-Calificacion-eficiencia-energetica-edificios.pdf"/>
    <hyperlink ref="J7" r:id="rId3" display="http://www.minetad.gob.es/energia/desarrollo/EficienciaEnergetica/CertificacionEnergetica/DocumentosReconocidos/normativamodelosutilizacion/20151123-Calificacion-eficiencia-energetica-edificios.pdf"/>
  </hyperlinks>
  <pageMargins left="0.11811023622047245" right="0.11811023622047245" top="0.66398809523809521" bottom="0.35433070866141736" header="4.7916666666666663E-3" footer="0.31496062992125984"/>
  <pageSetup paperSize="9" scale="56" orientation="landscape" horizontalDpi="0" verticalDpi="0" r:id="rId4"/>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269" id="{A41CC411-2930-4D2D-B29E-CEF42F2484DA}">
            <xm:f>IF(AND($C$15&lt;&gt;Municipio!V2,$C$15&lt;&gt;Municipio!V3,$C$15&lt;&gt;"",E18&lt;&gt;""),IF(E18&gt;1.5,0,1),"")</xm:f>
            <x14:dxf>
              <font>
                <b/>
                <i val="0"/>
                <color theme="0"/>
              </font>
              <fill>
                <patternFill>
                  <bgColor rgb="FFC95513"/>
                </patternFill>
              </fill>
              <border>
                <left style="thin">
                  <color auto="1"/>
                </left>
                <right style="thin">
                  <color auto="1"/>
                </right>
                <top style="thin">
                  <color auto="1"/>
                </top>
                <bottom style="thin">
                  <color auto="1"/>
                </bottom>
                <vertical/>
                <horizontal/>
              </border>
            </x14:dxf>
          </x14:cfRule>
          <xm:sqref>E19:E21</xm:sqref>
        </x14:conditionalFormatting>
      </x14:conditionalFormattings>
    </ext>
    <ext xmlns:x14="http://schemas.microsoft.com/office/spreadsheetml/2009/9/main" uri="{CCE6A557-97BC-4b89-ADB6-D9C93CAAB3DF}">
      <x14:dataValidations xmlns:xm="http://schemas.microsoft.com/office/excel/2006/main" xWindow="1577" yWindow="528" count="1">
        <x14:dataValidation type="list" allowBlank="1" showInputMessage="1" showErrorMessage="1">
          <x14:formula1>
            <xm:f>Municipio!$L$2:$L$172</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8"/>
  <sheetViews>
    <sheetView zoomScale="160" zoomScaleNormal="160" workbookViewId="0">
      <selection activeCell="G6" sqref="G6"/>
    </sheetView>
  </sheetViews>
  <sheetFormatPr baseColWidth="10" defaultRowHeight="15" x14ac:dyDescent="0.25"/>
  <cols>
    <col min="1" max="1" width="11.42578125" style="21"/>
    <col min="2" max="2" width="26.140625" style="21" bestFit="1" customWidth="1"/>
    <col min="3" max="4" width="11.42578125" style="21"/>
    <col min="5" max="6" width="13.28515625" style="21" bestFit="1" customWidth="1"/>
    <col min="7" max="16384" width="11.42578125" style="21"/>
  </cols>
  <sheetData>
    <row r="2" spans="2:15" x14ac:dyDescent="0.25">
      <c r="B2" s="21" t="s">
        <v>1125</v>
      </c>
      <c r="C2" s="64">
        <f>IF(Cumplimiento!N8&lt;&gt;"",Cumplimiento!N8,0)</f>
        <v>0</v>
      </c>
      <c r="D2" s="21" t="s">
        <v>1128</v>
      </c>
      <c r="E2" s="175" t="s">
        <v>1132</v>
      </c>
      <c r="F2" s="175"/>
      <c r="G2" s="175"/>
      <c r="H2" s="48" t="s">
        <v>1133</v>
      </c>
      <c r="I2" s="21" t="str">
        <f>CONCATENATE("Se considera el ",G7*100,"% de eficiencia en el cálculo de reflexión")</f>
        <v>Se considera el 20% de eficiencia en el cálculo de reflexión</v>
      </c>
      <c r="K2" s="48"/>
    </row>
    <row r="3" spans="2:15" ht="17.25" x14ac:dyDescent="0.25">
      <c r="B3" s="21" t="s">
        <v>1126</v>
      </c>
      <c r="C3" s="21">
        <f>Cumplimiento!J9</f>
        <v>0</v>
      </c>
      <c r="D3" s="21" t="s">
        <v>1129</v>
      </c>
      <c r="E3" s="48" t="s">
        <v>1131</v>
      </c>
      <c r="F3" s="48" t="s">
        <v>1138</v>
      </c>
      <c r="G3" s="48" t="s">
        <v>1130</v>
      </c>
      <c r="H3" s="48" t="s">
        <v>1136</v>
      </c>
      <c r="I3" s="48" t="s">
        <v>1137</v>
      </c>
      <c r="J3" s="48" t="s">
        <v>1139</v>
      </c>
      <c r="K3" s="48" t="s">
        <v>1130</v>
      </c>
      <c r="L3" s="48" t="s">
        <v>1134</v>
      </c>
      <c r="M3" s="48"/>
    </row>
    <row r="4" spans="2:15" ht="17.25" x14ac:dyDescent="0.25">
      <c r="B4" s="21" t="s">
        <v>1135</v>
      </c>
      <c r="C4" s="21">
        <f>Cumplimiento!M9</f>
        <v>0</v>
      </c>
      <c r="D4" s="21" t="s">
        <v>1129</v>
      </c>
      <c r="E4" s="48">
        <f>IF(Cumplimiento!C14&lt;&gt;"",IF(LEFT(Cumplimiento!C14,1)="1",IF(Cumplimiento!F8="",0,Cumplimiento!F8),IF(LEFT(Cumplimiento!C14,1)="2",IF(Cumplimiento!F9="",0,Cumplimiento!F9),IF(LEFT(Cumplimiento!C14,1)="3",IF(Cumplimiento!F10="",0,Cumplimiento!F10),0))),0)</f>
        <v>0</v>
      </c>
      <c r="F4" s="48">
        <f>IF(AND($C$3&gt;0,$C$4&gt;0,$E$4&gt;0,$C$4*E4+$C$5*E5&gt;0),$C$4*E4/($C$4*E4+$C$5*E5),0)</f>
        <v>0</v>
      </c>
      <c r="G4" s="64">
        <f>IF($C$3&gt;0,$C$2*F4*SUM($C$4:$C$5)/$C$3,0)</f>
        <v>0</v>
      </c>
      <c r="H4" s="48">
        <f>IF(Cumplimiento!G18&lt;&gt;"",Cumplimiento!G18,0)</f>
        <v>0</v>
      </c>
      <c r="I4" s="48">
        <f>IF(Cumplimiento!F15&lt;&gt;"",Cumplimiento!F15,0)</f>
        <v>0</v>
      </c>
      <c r="J4" s="21">
        <f>IF(I4&gt;0,IF(H4=0,E4*(1-I4*G7),H4*(1-I4*G7)),H4)</f>
        <v>0</v>
      </c>
      <c r="K4" s="65">
        <f>IF(AND(E4&lt;&gt;"",E4&gt;0),G4*J4/E4,0)</f>
        <v>0</v>
      </c>
      <c r="L4" s="65">
        <f>G4-K4</f>
        <v>0</v>
      </c>
      <c r="M4" s="48"/>
    </row>
    <row r="5" spans="2:15" ht="17.25" x14ac:dyDescent="0.25">
      <c r="B5" s="21" t="s">
        <v>1127</v>
      </c>
      <c r="C5" s="21">
        <f>Cumplimiento!O9</f>
        <v>0</v>
      </c>
      <c r="D5" s="21" t="s">
        <v>1129</v>
      </c>
      <c r="E5" s="48">
        <f>IF(Cumplimiento!C11&lt;&gt;"",Cumplimiento!C11,0)</f>
        <v>0</v>
      </c>
      <c r="F5" s="48">
        <f>IF(AND($C$3&gt;0,$C$5&gt;0,$E$5&gt;0),$C$5*E5/($C$4*E4+$C$5*E5),0)</f>
        <v>0</v>
      </c>
      <c r="G5" s="64">
        <f>IF(C3&gt;0,$C$2*F5*SUM($C$4:$C$5)/$C$3,0)</f>
        <v>0</v>
      </c>
      <c r="H5" s="48">
        <f>IF(Cumplimiento!J18&lt;&gt;"",Cumplimiento!J18,0)</f>
        <v>0</v>
      </c>
      <c r="J5" s="21">
        <f>H5</f>
        <v>0</v>
      </c>
      <c r="K5" s="65">
        <f>IF(E5&lt;&gt;"",IF(E5&lt;&gt;0,G5*J5/E5,0),0)</f>
        <v>0</v>
      </c>
      <c r="L5" s="65">
        <f>G5-K5</f>
        <v>0</v>
      </c>
      <c r="M5" s="48"/>
      <c r="N5" s="21">
        <v>0.22</v>
      </c>
    </row>
    <row r="6" spans="2:15" x14ac:dyDescent="0.25">
      <c r="G6" s="68">
        <f>G5+G4</f>
        <v>0</v>
      </c>
      <c r="K6" s="69">
        <f>K5+K4</f>
        <v>0</v>
      </c>
      <c r="L6" s="70">
        <f>L5+L4</f>
        <v>0</v>
      </c>
      <c r="M6" s="65">
        <f>C2-L6</f>
        <v>0</v>
      </c>
      <c r="N6" s="21">
        <f>M6*N5</f>
        <v>0</v>
      </c>
    </row>
    <row r="7" spans="2:15" x14ac:dyDescent="0.25">
      <c r="F7" s="67" t="s">
        <v>1140</v>
      </c>
      <c r="G7" s="66">
        <v>0.2</v>
      </c>
    </row>
    <row r="8" spans="2:15" x14ac:dyDescent="0.25">
      <c r="L8" s="21" t="s">
        <v>1151</v>
      </c>
      <c r="M8" s="64">
        <f>G6-M6</f>
        <v>0</v>
      </c>
      <c r="N8" s="21" t="s">
        <v>1152</v>
      </c>
    </row>
    <row r="9" spans="2:15" x14ac:dyDescent="0.25">
      <c r="H9" s="21" t="str">
        <f>IF(Cumplimiento!G17&lt;&gt;"",Cumplimiento!G17,0)</f>
        <v>Transmitancia global cerramiento
[W/ m²K]</v>
      </c>
      <c r="L9" s="21" t="s">
        <v>1154</v>
      </c>
      <c r="M9" s="21">
        <f>M8*860/10000000/0.45</f>
        <v>0</v>
      </c>
      <c r="N9" s="21" t="s">
        <v>1153</v>
      </c>
      <c r="O9" s="21" t="e">
        <f>M8/C2</f>
        <v>#DIV/0!</v>
      </c>
    </row>
    <row r="10" spans="2:15" x14ac:dyDescent="0.25">
      <c r="L10" s="21" t="s">
        <v>1155</v>
      </c>
      <c r="M10" s="21">
        <f>M9*3.036</f>
        <v>0</v>
      </c>
      <c r="N10" s="21" t="s">
        <v>1156</v>
      </c>
    </row>
    <row r="11" spans="2:15" x14ac:dyDescent="0.25">
      <c r="B11" s="21" t="str">
        <f>Cumplimiento!M17</f>
        <v>Superficie acristalada afectada por la actuación de sombreamiento [m²]</v>
      </c>
      <c r="F11" s="21">
        <f>Cumplimiento!N17</f>
        <v>0</v>
      </c>
    </row>
    <row r="12" spans="2:15" x14ac:dyDescent="0.25">
      <c r="B12" s="21" t="str">
        <f>Cumplimiento!M18</f>
        <v>Superficie del elemento generador del sombreamiento [m²]</v>
      </c>
      <c r="F12" s="21">
        <f>Cumplimiento!N18</f>
        <v>0</v>
      </c>
    </row>
    <row r="13" spans="2:15" x14ac:dyDescent="0.25">
      <c r="D13" s="138" t="str">
        <f>Cumplimiento!M19</f>
        <v>Consumo previo para refrigeración [kWh/año]</v>
      </c>
      <c r="E13" s="64" t="str">
        <f>Cumplimiento!N19</f>
        <v/>
      </c>
      <c r="G13" s="136" t="s">
        <v>1211</v>
      </c>
      <c r="I13" s="136" t="s">
        <v>1212</v>
      </c>
      <c r="J13" s="64">
        <f>IFERROR(E13*J14/G14,0)</f>
        <v>0</v>
      </c>
      <c r="K13" s="21">
        <v>710.74</v>
      </c>
    </row>
    <row r="14" spans="2:15" x14ac:dyDescent="0.25">
      <c r="G14" s="136">
        <f>E5</f>
        <v>0</v>
      </c>
      <c r="I14" s="136">
        <v>0.35</v>
      </c>
      <c r="J14" s="21">
        <f>G18</f>
        <v>0</v>
      </c>
    </row>
    <row r="15" spans="2:15" x14ac:dyDescent="0.25">
      <c r="F15" s="67" t="s">
        <v>1213</v>
      </c>
      <c r="G15" s="66">
        <v>0.2</v>
      </c>
    </row>
    <row r="16" spans="2:15" x14ac:dyDescent="0.25">
      <c r="F16" s="67" t="s">
        <v>1219</v>
      </c>
      <c r="G16" s="143">
        <f>IF(I14&gt;0,IF(H14=0,G14*(1-I14*G15),H14*(1-I14*G15)),H14)</f>
        <v>0</v>
      </c>
    </row>
    <row r="17" spans="5:7" x14ac:dyDescent="0.25">
      <c r="E17" s="21" t="s">
        <v>1220</v>
      </c>
      <c r="G17" s="143">
        <f>IF(F12&gt;F11,F11,F12)</f>
        <v>0</v>
      </c>
    </row>
    <row r="18" spans="5:7" x14ac:dyDescent="0.25">
      <c r="F18" s="67" t="s">
        <v>1221</v>
      </c>
      <c r="G18" s="21">
        <f>IF(G17=F11,G16,(G16*G17+G14*F11)/(G17+F11))</f>
        <v>0</v>
      </c>
    </row>
  </sheetData>
  <mergeCells count="1">
    <mergeCell ref="E2:G2"/>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0"/>
  <sheetViews>
    <sheetView zoomScale="115" zoomScaleNormal="115" workbookViewId="0">
      <selection activeCell="E19" sqref="E19"/>
    </sheetView>
  </sheetViews>
  <sheetFormatPr baseColWidth="10" defaultRowHeight="15" x14ac:dyDescent="0.25"/>
  <cols>
    <col min="1" max="16384" width="11.42578125" style="21"/>
  </cols>
  <sheetData>
    <row r="2" spans="1:20" ht="18.75" x14ac:dyDescent="0.25">
      <c r="B2" s="1" t="s">
        <v>5</v>
      </c>
      <c r="C2" s="2" t="s">
        <v>6</v>
      </c>
      <c r="D2" s="1" t="s">
        <v>7</v>
      </c>
      <c r="E2" s="2" t="s">
        <v>8</v>
      </c>
      <c r="F2" s="2" t="s">
        <v>9</v>
      </c>
      <c r="G2" s="1" t="s">
        <v>10</v>
      </c>
      <c r="H2" s="1" t="s">
        <v>11</v>
      </c>
      <c r="I2" s="3" t="s">
        <v>12</v>
      </c>
      <c r="J2" s="2" t="s">
        <v>13</v>
      </c>
      <c r="K2" s="1" t="s">
        <v>14</v>
      </c>
      <c r="L2" s="1" t="s">
        <v>15</v>
      </c>
      <c r="M2" s="2" t="s">
        <v>16</v>
      </c>
      <c r="N2" s="2" t="s">
        <v>17</v>
      </c>
      <c r="O2" s="2" t="s">
        <v>18</v>
      </c>
      <c r="P2" s="2" t="s">
        <v>19</v>
      </c>
      <c r="Q2" s="2" t="s">
        <v>20</v>
      </c>
      <c r="R2" s="2" t="s">
        <v>21</v>
      </c>
      <c r="S2" s="2" t="s">
        <v>22</v>
      </c>
      <c r="T2" s="2" t="s">
        <v>23</v>
      </c>
    </row>
    <row r="3" spans="1:20" ht="18.75" x14ac:dyDescent="0.25">
      <c r="A3" s="19"/>
      <c r="B3" s="5" t="s">
        <v>28</v>
      </c>
      <c r="C3" s="6" t="s">
        <v>8</v>
      </c>
      <c r="D3" s="7">
        <v>0</v>
      </c>
      <c r="E3" s="11" t="s">
        <v>29</v>
      </c>
      <c r="F3" s="8"/>
      <c r="G3" s="9"/>
      <c r="H3" s="10"/>
      <c r="I3" s="18" t="s">
        <v>25</v>
      </c>
      <c r="J3" s="11" t="s">
        <v>30</v>
      </c>
      <c r="K3" s="8"/>
      <c r="L3" s="9"/>
      <c r="M3" s="10"/>
      <c r="N3" s="11" t="s">
        <v>31</v>
      </c>
      <c r="O3" s="8"/>
      <c r="P3" s="10"/>
      <c r="Q3" s="11" t="s">
        <v>32</v>
      </c>
      <c r="R3" s="8"/>
      <c r="S3" s="9"/>
      <c r="T3" s="10"/>
    </row>
    <row r="4" spans="1:20" ht="18.75" x14ac:dyDescent="0.25">
      <c r="A4" s="19"/>
      <c r="B4" s="12" t="s">
        <v>38</v>
      </c>
      <c r="C4" s="13" t="s">
        <v>9</v>
      </c>
      <c r="D4" s="14">
        <v>0</v>
      </c>
      <c r="E4" s="20"/>
      <c r="F4" s="11" t="s">
        <v>39</v>
      </c>
      <c r="G4" s="15"/>
      <c r="H4" s="16"/>
      <c r="I4" s="16"/>
      <c r="J4" s="11" t="s">
        <v>24</v>
      </c>
      <c r="K4" s="15"/>
      <c r="L4" s="16"/>
      <c r="M4" s="17"/>
      <c r="N4" s="11" t="s">
        <v>37</v>
      </c>
      <c r="O4" s="11" t="s">
        <v>34</v>
      </c>
      <c r="P4" s="15"/>
      <c r="Q4" s="17"/>
      <c r="R4" s="11" t="s">
        <v>35</v>
      </c>
      <c r="S4" s="15"/>
      <c r="T4" s="17"/>
    </row>
    <row r="5" spans="1:20" ht="18.75" x14ac:dyDescent="0.25">
      <c r="A5" s="19"/>
      <c r="B5" s="12" t="s">
        <v>41</v>
      </c>
      <c r="C5" s="13" t="s">
        <v>12</v>
      </c>
      <c r="D5" s="14">
        <v>113</v>
      </c>
      <c r="E5" s="15"/>
      <c r="F5" s="16"/>
      <c r="G5" s="16"/>
      <c r="H5" s="17"/>
      <c r="I5" s="18" t="s">
        <v>39</v>
      </c>
      <c r="J5" s="15"/>
      <c r="K5" s="16"/>
      <c r="L5" s="17"/>
      <c r="M5" s="11" t="s">
        <v>33</v>
      </c>
      <c r="N5" s="15"/>
      <c r="O5" s="16"/>
      <c r="P5" s="17"/>
      <c r="Q5" s="11" t="s">
        <v>42</v>
      </c>
      <c r="R5" s="15"/>
      <c r="S5" s="16"/>
      <c r="T5" s="17"/>
    </row>
    <row r="6" spans="1:20" ht="18.75" x14ac:dyDescent="0.25">
      <c r="A6" s="19"/>
      <c r="B6" s="12" t="s">
        <v>45</v>
      </c>
      <c r="C6" s="13" t="s">
        <v>17</v>
      </c>
      <c r="D6" s="14">
        <v>754</v>
      </c>
      <c r="E6" s="11" t="s">
        <v>40</v>
      </c>
      <c r="F6" s="15"/>
      <c r="G6" s="16"/>
      <c r="H6" s="17"/>
      <c r="I6" s="18" t="s">
        <v>46</v>
      </c>
      <c r="J6" s="15"/>
      <c r="K6" s="16"/>
      <c r="L6" s="17"/>
      <c r="M6" s="11" t="s">
        <v>37</v>
      </c>
      <c r="N6" s="11" t="s">
        <v>31</v>
      </c>
      <c r="O6" s="15"/>
      <c r="P6" s="17"/>
      <c r="Q6" s="11" t="s">
        <v>47</v>
      </c>
      <c r="R6" s="15"/>
      <c r="S6" s="17"/>
      <c r="T6" s="11" t="s">
        <v>48</v>
      </c>
    </row>
    <row r="7" spans="1:20" ht="18.75" x14ac:dyDescent="0.25">
      <c r="A7" s="19"/>
      <c r="B7" s="12" t="s">
        <v>49</v>
      </c>
      <c r="C7" s="13" t="s">
        <v>8</v>
      </c>
      <c r="D7" s="14">
        <v>50</v>
      </c>
      <c r="E7" s="11" t="s">
        <v>40</v>
      </c>
      <c r="F7" s="15"/>
      <c r="G7" s="16"/>
      <c r="H7" s="17"/>
      <c r="I7" s="18" t="s">
        <v>39</v>
      </c>
      <c r="J7" s="11" t="s">
        <v>46</v>
      </c>
      <c r="K7" s="15"/>
      <c r="L7" s="16"/>
      <c r="M7" s="17"/>
      <c r="N7" s="11" t="s">
        <v>31</v>
      </c>
      <c r="O7" s="15"/>
      <c r="P7" s="17"/>
      <c r="Q7" s="11" t="s">
        <v>32</v>
      </c>
      <c r="R7" s="15"/>
      <c r="S7" s="16"/>
      <c r="T7" s="17"/>
    </row>
    <row r="8" spans="1:20" ht="18.75" x14ac:dyDescent="0.25">
      <c r="A8" s="19"/>
      <c r="B8" s="12" t="s">
        <v>50</v>
      </c>
      <c r="C8" s="13" t="s">
        <v>16</v>
      </c>
      <c r="D8" s="14">
        <v>436</v>
      </c>
      <c r="E8" s="15"/>
      <c r="F8" s="16"/>
      <c r="G8" s="16"/>
      <c r="H8" s="17"/>
      <c r="I8" s="18" t="s">
        <v>46</v>
      </c>
      <c r="J8" s="15"/>
      <c r="K8" s="16"/>
      <c r="L8" s="17"/>
      <c r="M8" s="11" t="s">
        <v>36</v>
      </c>
      <c r="N8" s="15"/>
      <c r="O8" s="16"/>
      <c r="P8" s="17"/>
      <c r="Q8" s="11" t="s">
        <v>51</v>
      </c>
      <c r="R8" s="15"/>
      <c r="S8" s="17"/>
      <c r="T8" s="11" t="s">
        <v>52</v>
      </c>
    </row>
    <row r="9" spans="1:20" ht="18.75" x14ac:dyDescent="0.25">
      <c r="A9" s="19"/>
      <c r="B9" s="12" t="s">
        <v>53</v>
      </c>
      <c r="C9" s="13" t="s">
        <v>9</v>
      </c>
      <c r="D9" s="14">
        <v>0</v>
      </c>
      <c r="E9" s="15"/>
      <c r="F9" s="16"/>
      <c r="G9" s="16"/>
      <c r="H9" s="16"/>
      <c r="I9" s="16"/>
      <c r="J9" s="11" t="s">
        <v>54</v>
      </c>
      <c r="K9" s="15"/>
      <c r="L9" s="16"/>
      <c r="M9" s="17"/>
      <c r="N9" s="11" t="s">
        <v>26</v>
      </c>
      <c r="O9" s="15"/>
      <c r="P9" s="17"/>
      <c r="Q9" s="11" t="s">
        <v>27</v>
      </c>
      <c r="R9" s="15"/>
      <c r="S9" s="16"/>
      <c r="T9" s="17"/>
    </row>
    <row r="10" spans="1:20" ht="18.75" x14ac:dyDescent="0.25">
      <c r="A10" s="19"/>
      <c r="B10" s="5" t="s">
        <v>55</v>
      </c>
      <c r="C10" s="6" t="s">
        <v>12</v>
      </c>
      <c r="D10" s="7">
        <v>9</v>
      </c>
      <c r="E10" s="8"/>
      <c r="F10" s="9"/>
      <c r="G10" s="9"/>
      <c r="H10" s="10"/>
      <c r="I10" s="18" t="s">
        <v>43</v>
      </c>
      <c r="J10" s="8"/>
      <c r="K10" s="9"/>
      <c r="L10" s="10"/>
      <c r="M10" s="11" t="s">
        <v>44</v>
      </c>
      <c r="N10" s="8"/>
      <c r="O10" s="9"/>
      <c r="P10" s="9"/>
      <c r="Q10" s="9"/>
      <c r="R10" s="9"/>
      <c r="S10" s="9"/>
      <c r="T10" s="10"/>
    </row>
    <row r="11" spans="1:20" ht="18.75" x14ac:dyDescent="0.25">
      <c r="A11" s="4"/>
      <c r="B11" s="1" t="s">
        <v>5</v>
      </c>
      <c r="C11" s="2" t="s">
        <v>6</v>
      </c>
      <c r="D11" s="1" t="s">
        <v>7</v>
      </c>
      <c r="E11" s="2" t="s">
        <v>8</v>
      </c>
      <c r="F11" s="2" t="s">
        <v>9</v>
      </c>
      <c r="G11" s="1" t="s">
        <v>10</v>
      </c>
      <c r="H11" s="1" t="s">
        <v>11</v>
      </c>
      <c r="I11" s="3" t="s">
        <v>12</v>
      </c>
      <c r="J11" s="2" t="s">
        <v>13</v>
      </c>
      <c r="K11" s="1" t="s">
        <v>14</v>
      </c>
      <c r="L11" s="1" t="s">
        <v>15</v>
      </c>
      <c r="M11" s="2" t="s">
        <v>16</v>
      </c>
      <c r="N11" s="2" t="s">
        <v>17</v>
      </c>
      <c r="O11" s="2" t="s">
        <v>18</v>
      </c>
      <c r="P11" s="2" t="s">
        <v>19</v>
      </c>
      <c r="Q11" s="2" t="s">
        <v>20</v>
      </c>
      <c r="R11" s="2" t="s">
        <v>21</v>
      </c>
      <c r="S11" s="2" t="s">
        <v>22</v>
      </c>
      <c r="T11" s="2" t="s">
        <v>23</v>
      </c>
    </row>
    <row r="13" spans="1:20" x14ac:dyDescent="0.25">
      <c r="B13" s="21" t="s">
        <v>0</v>
      </c>
      <c r="C13" s="22">
        <f>Cumplimiento!C4</f>
        <v>0</v>
      </c>
      <c r="D13" s="22"/>
    </row>
    <row r="14" spans="1:20" x14ac:dyDescent="0.25">
      <c r="B14" s="21" t="s">
        <v>7</v>
      </c>
      <c r="C14" s="22" t="str">
        <f>IF(Cumplimiento!I5&lt;&gt;"",VLOOKUP(Cumplimiento!$C$5,Municipio!$R$2:$S$774,2,FALSE),"")</f>
        <v/>
      </c>
      <c r="D14" s="22" t="str">
        <f>IF(AND($C$13&gt;0,$C$14&lt;&gt;""),IF($C$13=$B$3,IF($C$14&lt;100,"A4",IF($C$14&lt;250,"B4",IF($C$14&lt;400,"B3",IF($C$14&lt;800,"C3","D3")))),IF($C$13=$B$4,IF($C$14&lt;150,"A3",IF($C$14&lt;450,"B3",IF($C$14&lt;600,"C3",IF($C$14&lt;850,"C2","D2")))),IF($C$13=$B$5,IF($C$14&lt;150,"B4",IF($C$14&lt;550,"C4","D3")),IF($C$13=$B$6,IF($C$14&lt;50,"A4",IF($C$14&lt;350,"B4",IF($C$14&lt;600,"C4",IF($C$14&lt;800,"C3",IF($C$14&lt;1300,"D3","E1"))))),IF($C$13=$B$7,IF($C$14&lt;50,"A4",IF($C$14&lt;150,"B4",IF($C$14&lt;350,"B3",IF($C$14&lt;800,"C3","D3")))),IF($C$13=$B$8,IF($C$14&lt;350,"B4",IF($C$14&lt;750,"C4",IF($C$14&lt;1250,"D3","E1"))),IF($C$13=$B$9,IF($C$14&lt;300,"B3",IF($C$14&lt;700,"C3","D3")),IF($C$14&lt;200,"B4","C4")))))))),"")</f>
        <v/>
      </c>
    </row>
    <row r="15" spans="1:20" x14ac:dyDescent="0.25">
      <c r="D15" s="177" t="s">
        <v>1</v>
      </c>
      <c r="E15" s="177"/>
      <c r="F15" s="177"/>
      <c r="G15" s="177"/>
      <c r="H15" s="177"/>
    </row>
    <row r="16" spans="1:20" x14ac:dyDescent="0.25">
      <c r="B16" s="21" t="s">
        <v>56</v>
      </c>
      <c r="D16" s="22" t="s">
        <v>62</v>
      </c>
      <c r="E16" s="22" t="s">
        <v>63</v>
      </c>
      <c r="F16" s="22" t="s">
        <v>64</v>
      </c>
      <c r="G16" s="22" t="s">
        <v>65</v>
      </c>
      <c r="H16" s="22" t="s">
        <v>66</v>
      </c>
    </row>
    <row r="17" spans="2:8" ht="28.5" customHeight="1" x14ac:dyDescent="0.25">
      <c r="B17" s="176" t="s">
        <v>57</v>
      </c>
      <c r="C17" s="176"/>
      <c r="D17" s="22">
        <v>1.25</v>
      </c>
      <c r="E17" s="22">
        <v>1</v>
      </c>
      <c r="F17" s="22">
        <v>0.75</v>
      </c>
      <c r="G17" s="22">
        <v>0.6</v>
      </c>
      <c r="H17" s="22">
        <v>0.55000000000000004</v>
      </c>
    </row>
    <row r="18" spans="2:8" ht="33.75" customHeight="1" x14ac:dyDescent="0.25">
      <c r="B18" s="176" t="s">
        <v>58</v>
      </c>
      <c r="C18" s="176"/>
      <c r="D18" s="22">
        <v>0.8</v>
      </c>
      <c r="E18" s="22">
        <v>0.65</v>
      </c>
      <c r="F18" s="22">
        <v>0.5</v>
      </c>
      <c r="G18" s="22">
        <v>0.4</v>
      </c>
      <c r="H18" s="22">
        <v>0.35</v>
      </c>
    </row>
    <row r="19" spans="2:8" ht="29.25" customHeight="1" x14ac:dyDescent="0.25">
      <c r="B19" s="176" t="s">
        <v>59</v>
      </c>
      <c r="C19" s="176"/>
      <c r="D19" s="22">
        <v>5.7</v>
      </c>
      <c r="E19" s="22">
        <v>4.2</v>
      </c>
      <c r="F19" s="22">
        <v>3.1</v>
      </c>
      <c r="G19" s="22">
        <v>2.7</v>
      </c>
      <c r="H19" s="22">
        <v>2.5</v>
      </c>
    </row>
    <row r="20" spans="2:8" ht="27.75" customHeight="1" x14ac:dyDescent="0.25">
      <c r="B20" s="176" t="s">
        <v>60</v>
      </c>
      <c r="C20" s="176"/>
      <c r="D20" s="22" t="s">
        <v>61</v>
      </c>
      <c r="E20" s="22" t="s">
        <v>61</v>
      </c>
      <c r="F20" s="22" t="s">
        <v>67</v>
      </c>
      <c r="G20" s="22" t="s">
        <v>67</v>
      </c>
      <c r="H20" s="22" t="s">
        <v>67</v>
      </c>
    </row>
  </sheetData>
  <mergeCells count="5">
    <mergeCell ref="B17:C17"/>
    <mergeCell ref="B18:C18"/>
    <mergeCell ref="B19:C19"/>
    <mergeCell ref="B20:C20"/>
    <mergeCell ref="D15:H15"/>
  </mergeCells>
  <pageMargins left="0.7" right="0.7" top="0.75" bottom="0.75" header="0.3" footer="0.3"/>
  <pageSetup paperSize="9" scale="5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zoomScale="85" zoomScaleNormal="85" workbookViewId="0">
      <selection activeCell="L26" sqref="L26"/>
    </sheetView>
  </sheetViews>
  <sheetFormatPr baseColWidth="10" defaultRowHeight="15" x14ac:dyDescent="0.25"/>
  <cols>
    <col min="1" max="2" width="11.42578125" style="109"/>
    <col min="3" max="3" width="15.85546875" style="109" customWidth="1"/>
    <col min="4" max="4" width="14.28515625" style="109" customWidth="1"/>
    <col min="5" max="5" width="15.85546875" style="109" customWidth="1"/>
    <col min="6" max="6" width="14.28515625" style="109" customWidth="1"/>
    <col min="7" max="7" width="15" style="109" bestFit="1" customWidth="1"/>
    <col min="8" max="8" width="14.28515625" style="109" customWidth="1"/>
    <col min="9" max="9" width="15" style="109" bestFit="1" customWidth="1"/>
    <col min="10" max="10" width="14.28515625" style="109" customWidth="1"/>
    <col min="11" max="11" width="15" style="109" bestFit="1" customWidth="1"/>
    <col min="12" max="12" width="14.28515625" style="109" customWidth="1"/>
    <col min="13" max="13" width="15" style="109" bestFit="1" customWidth="1"/>
    <col min="14" max="14" width="14.28515625" style="109" customWidth="1"/>
    <col min="15" max="15" width="15" style="109" bestFit="1" customWidth="1"/>
    <col min="16" max="16" width="14.28515625" style="109" customWidth="1"/>
    <col min="17" max="17" width="15" style="109" bestFit="1" customWidth="1"/>
    <col min="18" max="18" width="14.28515625" style="109" customWidth="1"/>
    <col min="19" max="19" width="15" style="109" bestFit="1" customWidth="1"/>
    <col min="20" max="20" width="14.28515625" style="109" customWidth="1"/>
    <col min="21" max="21" width="15" style="109" bestFit="1" customWidth="1"/>
    <col min="22" max="22" width="14.28515625" style="109" customWidth="1"/>
    <col min="23" max="16384" width="11.42578125" style="109"/>
  </cols>
  <sheetData>
    <row r="1" spans="1:22" x14ac:dyDescent="0.25">
      <c r="B1" s="116" t="s">
        <v>1203</v>
      </c>
    </row>
    <row r="2" spans="1:22" ht="56.25" customHeight="1" x14ac:dyDescent="0.25">
      <c r="B2" s="179" t="s">
        <v>1200</v>
      </c>
      <c r="C2" s="179" t="s">
        <v>9</v>
      </c>
      <c r="D2" s="179"/>
      <c r="E2" s="179" t="s">
        <v>8</v>
      </c>
      <c r="F2" s="179"/>
      <c r="G2" s="179" t="s">
        <v>13</v>
      </c>
      <c r="H2" s="179"/>
      <c r="I2" s="179" t="s">
        <v>12</v>
      </c>
      <c r="J2" s="179"/>
      <c r="K2" s="179" t="s">
        <v>18</v>
      </c>
      <c r="L2" s="179"/>
      <c r="M2" s="179" t="s">
        <v>17</v>
      </c>
      <c r="N2" s="179"/>
      <c r="O2" s="179" t="s">
        <v>16</v>
      </c>
      <c r="P2" s="179"/>
      <c r="Q2" s="179" t="s">
        <v>21</v>
      </c>
      <c r="R2" s="179"/>
      <c r="S2" s="179" t="s">
        <v>20</v>
      </c>
      <c r="T2" s="179"/>
      <c r="U2" s="179" t="s">
        <v>23</v>
      </c>
      <c r="V2" s="179"/>
    </row>
    <row r="3" spans="1:22" ht="47.25" customHeight="1" x14ac:dyDescent="0.25">
      <c r="A3" s="122"/>
      <c r="B3" s="179"/>
      <c r="C3" s="117" t="s">
        <v>1201</v>
      </c>
      <c r="D3" s="117" t="s">
        <v>1202</v>
      </c>
      <c r="E3" s="117" t="s">
        <v>1201</v>
      </c>
      <c r="F3" s="117" t="s">
        <v>1202</v>
      </c>
      <c r="G3" s="117" t="s">
        <v>1201</v>
      </c>
      <c r="H3" s="117" t="s">
        <v>1202</v>
      </c>
      <c r="I3" s="117" t="s">
        <v>1201</v>
      </c>
      <c r="J3" s="117" t="s">
        <v>1202</v>
      </c>
      <c r="K3" s="117" t="s">
        <v>1201</v>
      </c>
      <c r="L3" s="117" t="s">
        <v>1202</v>
      </c>
      <c r="M3" s="117" t="s">
        <v>1201</v>
      </c>
      <c r="N3" s="117" t="s">
        <v>1202</v>
      </c>
      <c r="O3" s="117" t="s">
        <v>1201</v>
      </c>
      <c r="P3" s="117" t="s">
        <v>1202</v>
      </c>
      <c r="Q3" s="117" t="s">
        <v>1201</v>
      </c>
      <c r="R3" s="117" t="s">
        <v>1202</v>
      </c>
      <c r="S3" s="117" t="s">
        <v>1201</v>
      </c>
      <c r="T3" s="117" t="s">
        <v>1202</v>
      </c>
      <c r="U3" s="117" t="s">
        <v>1201</v>
      </c>
      <c r="V3" s="117" t="s">
        <v>1202</v>
      </c>
    </row>
    <row r="4" spans="1:22" ht="23.25" x14ac:dyDescent="0.25">
      <c r="A4" s="178">
        <v>1</v>
      </c>
      <c r="B4" s="118" t="s">
        <v>62</v>
      </c>
      <c r="C4" s="120">
        <v>19.100000000000001</v>
      </c>
      <c r="D4" s="120">
        <v>4.4000000000000004</v>
      </c>
      <c r="E4" s="120">
        <v>21.1</v>
      </c>
      <c r="F4" s="120">
        <v>4.9000000000000004</v>
      </c>
      <c r="G4" s="120">
        <v>23.8</v>
      </c>
      <c r="H4" s="120">
        <v>5.5</v>
      </c>
      <c r="I4" s="120">
        <v>29.1</v>
      </c>
      <c r="J4" s="120">
        <v>6.7</v>
      </c>
      <c r="K4" s="120">
        <v>39.700000000000003</v>
      </c>
      <c r="L4" s="120">
        <v>9</v>
      </c>
      <c r="M4" s="120">
        <v>36.4</v>
      </c>
      <c r="N4" s="120">
        <v>8.3000000000000007</v>
      </c>
      <c r="O4" s="120">
        <v>38.799999999999997</v>
      </c>
      <c r="P4" s="120">
        <v>8.9</v>
      </c>
      <c r="Q4" s="120">
        <v>51.6</v>
      </c>
      <c r="R4" s="120">
        <v>11.6</v>
      </c>
      <c r="S4" s="120">
        <v>54.2</v>
      </c>
      <c r="T4" s="120">
        <v>12.2</v>
      </c>
      <c r="U4" s="120">
        <v>67.7</v>
      </c>
      <c r="V4" s="120">
        <v>15.1</v>
      </c>
    </row>
    <row r="5" spans="1:22" ht="23.25" customHeight="1" x14ac:dyDescent="0.25">
      <c r="A5" s="178"/>
      <c r="B5" s="119" t="s">
        <v>63</v>
      </c>
      <c r="C5" s="121">
        <v>36.299999999999997</v>
      </c>
      <c r="D5" s="121">
        <v>8.4</v>
      </c>
      <c r="E5" s="121">
        <v>40.1</v>
      </c>
      <c r="F5" s="121">
        <v>9.4</v>
      </c>
      <c r="G5" s="121">
        <v>45.1</v>
      </c>
      <c r="H5" s="121">
        <v>10.4</v>
      </c>
      <c r="I5" s="121">
        <v>50.2</v>
      </c>
      <c r="J5" s="121">
        <v>11.6</v>
      </c>
      <c r="K5" s="121">
        <v>64.400000000000006</v>
      </c>
      <c r="L5" s="121">
        <v>14.6</v>
      </c>
      <c r="M5" s="121">
        <v>62.9</v>
      </c>
      <c r="N5" s="121">
        <v>14.3</v>
      </c>
      <c r="O5" s="121">
        <v>67</v>
      </c>
      <c r="P5" s="121">
        <v>15.3</v>
      </c>
      <c r="Q5" s="121">
        <v>83.6</v>
      </c>
      <c r="R5" s="121">
        <v>18.8</v>
      </c>
      <c r="S5" s="121">
        <v>87.8</v>
      </c>
      <c r="T5" s="121">
        <v>19.899999999999999</v>
      </c>
      <c r="U5" s="121">
        <v>104</v>
      </c>
      <c r="V5" s="121">
        <v>23.2</v>
      </c>
    </row>
    <row r="6" spans="1:22" ht="23.25" customHeight="1" x14ac:dyDescent="0.25">
      <c r="A6" s="178"/>
      <c r="B6" s="118" t="s">
        <v>64</v>
      </c>
      <c r="C6" s="120">
        <v>61.4</v>
      </c>
      <c r="D6" s="120">
        <v>12.4</v>
      </c>
      <c r="E6" s="120">
        <v>67.8</v>
      </c>
      <c r="F6" s="120">
        <v>15.8</v>
      </c>
      <c r="G6" s="120">
        <v>76.2</v>
      </c>
      <c r="H6" s="120">
        <v>17.5</v>
      </c>
      <c r="I6" s="120">
        <v>81.900000000000006</v>
      </c>
      <c r="J6" s="120">
        <v>19</v>
      </c>
      <c r="K6" s="120">
        <v>99.9</v>
      </c>
      <c r="L6" s="120">
        <v>22.7</v>
      </c>
      <c r="M6" s="120">
        <v>102.7</v>
      </c>
      <c r="N6" s="120">
        <v>23.4</v>
      </c>
      <c r="O6" s="120">
        <v>109.3</v>
      </c>
      <c r="P6" s="120">
        <v>25</v>
      </c>
      <c r="Q6" s="120">
        <v>129.6</v>
      </c>
      <c r="R6" s="120">
        <v>29.2</v>
      </c>
      <c r="S6" s="120">
        <v>136.1</v>
      </c>
      <c r="T6" s="120">
        <v>30.8</v>
      </c>
      <c r="U6" s="120">
        <v>155.19999999999999</v>
      </c>
      <c r="V6" s="120">
        <v>34.5</v>
      </c>
    </row>
    <row r="7" spans="1:22" ht="23.25" customHeight="1" x14ac:dyDescent="0.25">
      <c r="A7" s="178"/>
      <c r="B7" s="119" t="s">
        <v>65</v>
      </c>
      <c r="C7" s="121">
        <v>98.4</v>
      </c>
      <c r="D7" s="121">
        <v>22.8</v>
      </c>
      <c r="E7" s="121">
        <v>108.6</v>
      </c>
      <c r="F7" s="121">
        <v>25.3</v>
      </c>
      <c r="G7" s="121">
        <v>122.1</v>
      </c>
      <c r="H7" s="121">
        <v>28.1</v>
      </c>
      <c r="I7" s="121">
        <v>128.6</v>
      </c>
      <c r="J7" s="121">
        <v>29.8</v>
      </c>
      <c r="K7" s="121">
        <v>153.6</v>
      </c>
      <c r="L7" s="121">
        <v>34.9</v>
      </c>
      <c r="M7" s="121">
        <v>161.19999999999999</v>
      </c>
      <c r="N7" s="121">
        <v>36.700000000000003</v>
      </c>
      <c r="O7" s="121">
        <v>171.6</v>
      </c>
      <c r="P7" s="121">
        <v>39.299999999999997</v>
      </c>
      <c r="Q7" s="121">
        <v>199.3</v>
      </c>
      <c r="R7" s="121">
        <v>44.8</v>
      </c>
      <c r="S7" s="121">
        <v>209.3</v>
      </c>
      <c r="T7" s="121">
        <v>47.3</v>
      </c>
      <c r="U7" s="121">
        <v>231.1</v>
      </c>
      <c r="V7" s="121">
        <v>51.5</v>
      </c>
    </row>
    <row r="8" spans="1:22" ht="23.25" customHeight="1" x14ac:dyDescent="0.25">
      <c r="A8" s="178"/>
      <c r="B8" s="118" t="s">
        <v>66</v>
      </c>
      <c r="C8" s="120">
        <v>181.8</v>
      </c>
      <c r="D8" s="120">
        <v>44.3</v>
      </c>
      <c r="E8" s="120">
        <v>196.1</v>
      </c>
      <c r="F8" s="120">
        <v>47.8</v>
      </c>
      <c r="G8" s="120">
        <v>229.6</v>
      </c>
      <c r="H8" s="120">
        <v>54.9</v>
      </c>
      <c r="I8" s="120">
        <v>243.7</v>
      </c>
      <c r="J8" s="120">
        <v>58.4</v>
      </c>
      <c r="K8" s="120">
        <v>272.5</v>
      </c>
      <c r="L8" s="120">
        <v>62.8</v>
      </c>
      <c r="M8" s="120">
        <v>291.3</v>
      </c>
      <c r="N8" s="120">
        <v>67.400000000000006</v>
      </c>
      <c r="O8" s="120">
        <v>305.39999999999998</v>
      </c>
      <c r="P8" s="120">
        <v>70.8</v>
      </c>
      <c r="Q8" s="120">
        <v>357.4</v>
      </c>
      <c r="R8" s="120">
        <v>79.2</v>
      </c>
      <c r="S8" s="120">
        <v>375.6</v>
      </c>
      <c r="T8" s="120">
        <v>83.7</v>
      </c>
      <c r="U8" s="120">
        <v>442.6</v>
      </c>
      <c r="V8" s="120">
        <v>102.3</v>
      </c>
    </row>
    <row r="9" spans="1:22" ht="23.25" customHeight="1" x14ac:dyDescent="0.25">
      <c r="A9" s="178"/>
      <c r="B9" s="119" t="s">
        <v>1198</v>
      </c>
      <c r="C9" s="121">
        <v>212.7</v>
      </c>
      <c r="D9" s="121">
        <v>53.1</v>
      </c>
      <c r="E9" s="121">
        <v>213.8</v>
      </c>
      <c r="F9" s="121">
        <v>52.1</v>
      </c>
      <c r="G9" s="121">
        <v>268.60000000000002</v>
      </c>
      <c r="H9" s="121">
        <v>64.3</v>
      </c>
      <c r="I9" s="121">
        <v>292.5</v>
      </c>
      <c r="J9" s="121">
        <v>71.8</v>
      </c>
      <c r="K9" s="121">
        <v>318.8</v>
      </c>
      <c r="L9" s="121">
        <v>75.3</v>
      </c>
      <c r="M9" s="121">
        <v>367</v>
      </c>
      <c r="N9" s="121">
        <v>86.9</v>
      </c>
      <c r="O9" s="121">
        <v>384.4</v>
      </c>
      <c r="P9" s="121">
        <v>87.1</v>
      </c>
      <c r="Q9" s="121">
        <v>461.1</v>
      </c>
      <c r="R9" s="121">
        <v>103.8</v>
      </c>
      <c r="S9" s="121">
        <v>473.2</v>
      </c>
      <c r="T9" s="121">
        <v>100.4</v>
      </c>
      <c r="U9" s="121">
        <v>517.79999999999995</v>
      </c>
      <c r="V9" s="121">
        <v>119.7</v>
      </c>
    </row>
    <row r="10" spans="1:22" ht="23.25" customHeight="1" thickBot="1" x14ac:dyDescent="0.3">
      <c r="A10" s="178"/>
      <c r="B10" s="125" t="s">
        <v>1199</v>
      </c>
      <c r="C10" s="126"/>
      <c r="D10" s="126"/>
      <c r="E10" s="126"/>
      <c r="F10" s="126"/>
      <c r="G10" s="126"/>
      <c r="H10" s="126"/>
      <c r="I10" s="126"/>
      <c r="J10" s="126"/>
      <c r="K10" s="126"/>
      <c r="L10" s="126"/>
      <c r="M10" s="126"/>
      <c r="N10" s="126"/>
      <c r="O10" s="126"/>
      <c r="P10" s="126"/>
      <c r="Q10" s="126"/>
      <c r="R10" s="126"/>
      <c r="S10" s="126"/>
      <c r="T10" s="126"/>
      <c r="U10" s="126"/>
      <c r="V10" s="126"/>
    </row>
    <row r="11" spans="1:22" ht="23.25" x14ac:dyDescent="0.25">
      <c r="A11" s="178">
        <v>2</v>
      </c>
      <c r="B11" s="124" t="s">
        <v>62</v>
      </c>
      <c r="C11" s="127">
        <v>12.3</v>
      </c>
      <c r="D11" s="127">
        <v>2.9</v>
      </c>
      <c r="E11" s="127">
        <v>13.7</v>
      </c>
      <c r="F11" s="127">
        <v>3.2</v>
      </c>
      <c r="G11" s="127">
        <v>15.6</v>
      </c>
      <c r="H11" s="127">
        <v>3.6</v>
      </c>
      <c r="I11" s="127">
        <v>19.2</v>
      </c>
      <c r="J11" s="127">
        <v>4.4000000000000004</v>
      </c>
      <c r="K11" s="127">
        <v>26.8</v>
      </c>
      <c r="L11" s="127">
        <v>6.1</v>
      </c>
      <c r="M11" s="127">
        <v>24.5</v>
      </c>
      <c r="N11" s="127">
        <v>5.6</v>
      </c>
      <c r="O11" s="127">
        <v>26.2</v>
      </c>
      <c r="P11" s="127">
        <v>6</v>
      </c>
      <c r="Q11" s="127">
        <v>35.299999999999997</v>
      </c>
      <c r="R11" s="127">
        <v>7.9</v>
      </c>
      <c r="S11" s="127">
        <v>37.1</v>
      </c>
      <c r="T11" s="127">
        <v>8.4</v>
      </c>
      <c r="U11" s="127">
        <v>46.9</v>
      </c>
      <c r="V11" s="127">
        <v>10.4</v>
      </c>
    </row>
    <row r="12" spans="1:22" ht="23.25" x14ac:dyDescent="0.25">
      <c r="A12" s="178"/>
      <c r="B12" s="119" t="s">
        <v>63</v>
      </c>
      <c r="C12" s="128">
        <v>23.3</v>
      </c>
      <c r="D12" s="129">
        <v>5.4</v>
      </c>
      <c r="E12" s="129">
        <v>25.9</v>
      </c>
      <c r="F12" s="129">
        <v>6.1</v>
      </c>
      <c r="G12" s="129">
        <v>29.6</v>
      </c>
      <c r="H12" s="129">
        <v>6.8</v>
      </c>
      <c r="I12" s="129">
        <v>33.1</v>
      </c>
      <c r="J12" s="129">
        <v>7.7</v>
      </c>
      <c r="K12" s="129">
        <v>43.4</v>
      </c>
      <c r="L12" s="129">
        <v>9.9</v>
      </c>
      <c r="M12" s="129">
        <v>42.3</v>
      </c>
      <c r="N12" s="129">
        <v>9.6999999999999993</v>
      </c>
      <c r="O12" s="129">
        <v>45.2</v>
      </c>
      <c r="P12" s="129">
        <v>10.4</v>
      </c>
      <c r="Q12" s="129">
        <v>57.2</v>
      </c>
      <c r="R12" s="129">
        <v>12.9</v>
      </c>
      <c r="S12" s="129">
        <v>60.1</v>
      </c>
      <c r="T12" s="129">
        <v>13.6</v>
      </c>
      <c r="U12" s="129">
        <v>72.099999999999994</v>
      </c>
      <c r="V12" s="129">
        <v>16.100000000000001</v>
      </c>
    </row>
    <row r="13" spans="1:22" ht="23.25" x14ac:dyDescent="0.25">
      <c r="A13" s="178"/>
      <c r="B13" s="118" t="s">
        <v>64</v>
      </c>
      <c r="C13" s="130">
        <v>39.4</v>
      </c>
      <c r="D13" s="131">
        <v>9.1999999999999993</v>
      </c>
      <c r="E13" s="131">
        <v>43.8</v>
      </c>
      <c r="F13" s="131">
        <v>10.3</v>
      </c>
      <c r="G13" s="131">
        <v>50</v>
      </c>
      <c r="H13" s="131">
        <v>11.5</v>
      </c>
      <c r="I13" s="131">
        <v>54</v>
      </c>
      <c r="J13" s="131">
        <v>12.5</v>
      </c>
      <c r="K13" s="131">
        <v>67.3</v>
      </c>
      <c r="L13" s="131">
        <v>15.3</v>
      </c>
      <c r="M13" s="131">
        <v>69.099999999999994</v>
      </c>
      <c r="N13" s="131">
        <v>15.8</v>
      </c>
      <c r="O13" s="131">
        <v>73.7</v>
      </c>
      <c r="P13" s="131">
        <v>16.899999999999999</v>
      </c>
      <c r="Q13" s="131">
        <v>88.7</v>
      </c>
      <c r="R13" s="131">
        <v>20</v>
      </c>
      <c r="S13" s="131">
        <v>93.2</v>
      </c>
      <c r="T13" s="131">
        <v>21.1</v>
      </c>
      <c r="U13" s="131">
        <v>107.5</v>
      </c>
      <c r="V13" s="131">
        <v>24</v>
      </c>
    </row>
    <row r="14" spans="1:22" ht="23.25" x14ac:dyDescent="0.25">
      <c r="A14" s="178"/>
      <c r="B14" s="119" t="s">
        <v>65</v>
      </c>
      <c r="C14" s="128">
        <v>63.1</v>
      </c>
      <c r="D14" s="129">
        <v>14.7</v>
      </c>
      <c r="E14" s="129">
        <v>70.2</v>
      </c>
      <c r="F14" s="129">
        <v>16.399999999999999</v>
      </c>
      <c r="G14" s="129">
        <v>80.099999999999994</v>
      </c>
      <c r="H14" s="129">
        <v>18.5</v>
      </c>
      <c r="I14" s="129">
        <v>84.8</v>
      </c>
      <c r="J14" s="129">
        <v>19.7</v>
      </c>
      <c r="K14" s="129">
        <v>103.5</v>
      </c>
      <c r="L14" s="129">
        <v>23.5</v>
      </c>
      <c r="M14" s="129">
        <v>108.5</v>
      </c>
      <c r="N14" s="129">
        <v>24.7</v>
      </c>
      <c r="O14" s="129">
        <v>115.8</v>
      </c>
      <c r="P14" s="129">
        <v>26.5</v>
      </c>
      <c r="Q14" s="129">
        <v>136.30000000000001</v>
      </c>
      <c r="R14" s="129">
        <v>30.7</v>
      </c>
      <c r="S14" s="129">
        <v>143.30000000000001</v>
      </c>
      <c r="T14" s="129">
        <v>32.4</v>
      </c>
      <c r="U14" s="129">
        <v>160.1</v>
      </c>
      <c r="V14" s="129">
        <v>35.700000000000003</v>
      </c>
    </row>
    <row r="15" spans="1:22" ht="23.25" x14ac:dyDescent="0.25">
      <c r="A15" s="178"/>
      <c r="B15" s="118" t="s">
        <v>66</v>
      </c>
      <c r="C15" s="130">
        <v>134.19999999999999</v>
      </c>
      <c r="D15" s="131">
        <v>32.700000000000003</v>
      </c>
      <c r="E15" s="131">
        <v>144.6</v>
      </c>
      <c r="F15" s="131">
        <v>35.200000000000003</v>
      </c>
      <c r="G15" s="131">
        <v>173.7</v>
      </c>
      <c r="H15" s="131">
        <v>41.5</v>
      </c>
      <c r="I15" s="131">
        <v>184.3</v>
      </c>
      <c r="J15" s="131">
        <v>44.1</v>
      </c>
      <c r="K15" s="131">
        <v>212.9</v>
      </c>
      <c r="L15" s="131">
        <v>49</v>
      </c>
      <c r="M15" s="131">
        <v>223.7</v>
      </c>
      <c r="N15" s="131">
        <v>52.4</v>
      </c>
      <c r="O15" s="131">
        <v>237</v>
      </c>
      <c r="P15" s="131">
        <v>54.9</v>
      </c>
      <c r="Q15" s="131">
        <v>284.7</v>
      </c>
      <c r="R15" s="131">
        <v>63</v>
      </c>
      <c r="S15" s="131">
        <v>298.10000000000002</v>
      </c>
      <c r="T15" s="131">
        <v>66.3</v>
      </c>
      <c r="U15" s="131">
        <v>358.8</v>
      </c>
      <c r="V15" s="131">
        <v>82.9</v>
      </c>
    </row>
    <row r="16" spans="1:22" ht="23.25" x14ac:dyDescent="0.25">
      <c r="A16" s="178"/>
      <c r="B16" s="119" t="s">
        <v>1198</v>
      </c>
      <c r="C16" s="128">
        <v>146.19999999999999</v>
      </c>
      <c r="D16" s="129">
        <v>36.9</v>
      </c>
      <c r="E16" s="129">
        <v>157.6</v>
      </c>
      <c r="F16" s="129">
        <v>38.4</v>
      </c>
      <c r="G16" s="129">
        <v>189.4</v>
      </c>
      <c r="H16" s="129">
        <v>46.9</v>
      </c>
      <c r="I16" s="129">
        <v>200.9</v>
      </c>
      <c r="J16" s="129">
        <v>48.1</v>
      </c>
      <c r="K16" s="129">
        <v>240.5</v>
      </c>
      <c r="L16" s="129">
        <v>57.3</v>
      </c>
      <c r="M16" s="129">
        <v>247.1</v>
      </c>
      <c r="N16" s="129">
        <v>59.2</v>
      </c>
      <c r="O16" s="129">
        <v>267.8</v>
      </c>
      <c r="P16" s="129">
        <v>62.1</v>
      </c>
      <c r="Q16" s="129">
        <v>333.1</v>
      </c>
      <c r="R16" s="129">
        <v>73.7</v>
      </c>
      <c r="S16" s="129">
        <v>336.8</v>
      </c>
      <c r="T16" s="129">
        <v>79.599999999999994</v>
      </c>
      <c r="U16" s="129">
        <v>419.8</v>
      </c>
      <c r="V16" s="129">
        <v>97</v>
      </c>
    </row>
    <row r="17" spans="1:22" ht="24" thickBot="1" x14ac:dyDescent="0.3">
      <c r="A17" s="178"/>
      <c r="B17" s="125" t="s">
        <v>1199</v>
      </c>
      <c r="C17" s="126"/>
      <c r="D17" s="126"/>
      <c r="E17" s="126"/>
      <c r="F17" s="126"/>
      <c r="G17" s="126"/>
      <c r="H17" s="126"/>
      <c r="I17" s="126"/>
      <c r="J17" s="126"/>
      <c r="K17" s="126"/>
      <c r="L17" s="126"/>
      <c r="M17" s="126"/>
      <c r="N17" s="126"/>
      <c r="O17" s="126"/>
      <c r="P17" s="126"/>
      <c r="Q17" s="126"/>
      <c r="R17" s="126"/>
      <c r="S17" s="126"/>
      <c r="T17" s="126"/>
      <c r="U17" s="126"/>
      <c r="V17" s="126"/>
    </row>
    <row r="18" spans="1:22" ht="15" customHeight="1" x14ac:dyDescent="0.25"/>
    <row r="19" spans="1:22" ht="15" customHeight="1" x14ac:dyDescent="0.25"/>
    <row r="20" spans="1:22" ht="18.75" customHeight="1" x14ac:dyDescent="0.25">
      <c r="B20" s="116" t="s">
        <v>1207</v>
      </c>
    </row>
    <row r="21" spans="1:22" ht="18.75" customHeight="1" x14ac:dyDescent="0.25">
      <c r="A21" s="178">
        <v>3</v>
      </c>
      <c r="B21" s="118" t="s">
        <v>62</v>
      </c>
      <c r="C21" s="120">
        <v>0.4</v>
      </c>
    </row>
    <row r="22" spans="1:22" ht="18.75" customHeight="1" x14ac:dyDescent="0.25">
      <c r="A22" s="178"/>
      <c r="B22" s="119" t="s">
        <v>63</v>
      </c>
      <c r="C22" s="121">
        <v>0.65</v>
      </c>
    </row>
    <row r="23" spans="1:22" ht="18.75" customHeight="1" x14ac:dyDescent="0.25">
      <c r="A23" s="178"/>
      <c r="B23" s="118" t="s">
        <v>64</v>
      </c>
      <c r="C23" s="120">
        <v>1</v>
      </c>
    </row>
    <row r="24" spans="1:22" ht="19.5" customHeight="1" x14ac:dyDescent="0.25">
      <c r="A24" s="178"/>
      <c r="B24" s="119" t="s">
        <v>65</v>
      </c>
      <c r="C24" s="121">
        <v>1.3</v>
      </c>
    </row>
    <row r="25" spans="1:22" ht="23.25" x14ac:dyDescent="0.25">
      <c r="A25" s="178"/>
      <c r="B25" s="118" t="s">
        <v>66</v>
      </c>
      <c r="C25" s="120">
        <v>1.6</v>
      </c>
    </row>
    <row r="26" spans="1:22" ht="23.25" x14ac:dyDescent="0.25">
      <c r="A26" s="178"/>
      <c r="B26" s="119" t="s">
        <v>1198</v>
      </c>
      <c r="C26" s="121">
        <v>2</v>
      </c>
    </row>
    <row r="27" spans="1:22" ht="24" thickBot="1" x14ac:dyDescent="0.3">
      <c r="A27" s="178"/>
      <c r="B27" s="125" t="s">
        <v>1199</v>
      </c>
      <c r="C27" s="126"/>
    </row>
    <row r="28" spans="1:22" ht="26.25" x14ac:dyDescent="0.25">
      <c r="C28" s="132" t="s">
        <v>64</v>
      </c>
      <c r="D28" s="123" t="s">
        <v>1208</v>
      </c>
    </row>
    <row r="29" spans="1:22" ht="26.25" x14ac:dyDescent="0.25">
      <c r="B29" s="123" t="s">
        <v>1204</v>
      </c>
    </row>
    <row r="30" spans="1:22" ht="26.25" x14ac:dyDescent="0.25">
      <c r="B30" s="123" t="s">
        <v>1205</v>
      </c>
    </row>
    <row r="31" spans="1:22" ht="26.25" x14ac:dyDescent="0.25">
      <c r="B31" s="123" t="s">
        <v>1206</v>
      </c>
    </row>
  </sheetData>
  <mergeCells count="14">
    <mergeCell ref="U2:V2"/>
    <mergeCell ref="B2:B3"/>
    <mergeCell ref="E2:F2"/>
    <mergeCell ref="C2:D2"/>
    <mergeCell ref="I2:J2"/>
    <mergeCell ref="G2:H2"/>
    <mergeCell ref="O2:P2"/>
    <mergeCell ref="M2:N2"/>
    <mergeCell ref="A11:A17"/>
    <mergeCell ref="A4:A10"/>
    <mergeCell ref="A21:A27"/>
    <mergeCell ref="K2:L2"/>
    <mergeCell ref="S2:T2"/>
    <mergeCell ref="Q2:R2"/>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6"/>
  <sheetViews>
    <sheetView zoomScale="115" zoomScaleNormal="115" workbookViewId="0">
      <selection activeCell="C22" sqref="C22"/>
    </sheetView>
  </sheetViews>
  <sheetFormatPr baseColWidth="10" defaultRowHeight="15" x14ac:dyDescent="0.25"/>
  <cols>
    <col min="1" max="1" width="11.42578125" style="44"/>
    <col min="2" max="2" width="29.28515625" style="44" customWidth="1"/>
    <col min="3" max="3" width="106.85546875" style="44" customWidth="1"/>
    <col min="4" max="16384" width="11.42578125" style="44"/>
  </cols>
  <sheetData>
    <row r="2" spans="2:13" x14ac:dyDescent="0.25">
      <c r="B2" s="71">
        <v>0.2</v>
      </c>
    </row>
    <row r="3" spans="2:13" x14ac:dyDescent="0.25">
      <c r="B3" s="44" t="s">
        <v>1047</v>
      </c>
    </row>
    <row r="4" spans="2:13" ht="30" x14ac:dyDescent="0.25">
      <c r="B4" s="44" t="s">
        <v>1141</v>
      </c>
      <c r="C4" s="44" t="s">
        <v>1143</v>
      </c>
    </row>
    <row r="5" spans="2:13" x14ac:dyDescent="0.25">
      <c r="C5" s="44" t="s">
        <v>1145</v>
      </c>
    </row>
    <row r="6" spans="2:13" ht="30" x14ac:dyDescent="0.25">
      <c r="C6" s="44" t="s">
        <v>1146</v>
      </c>
    </row>
    <row r="8" spans="2:13" x14ac:dyDescent="0.25">
      <c r="B8" s="44" t="s">
        <v>1142</v>
      </c>
      <c r="C8" s="44" t="s">
        <v>1144</v>
      </c>
    </row>
    <row r="9" spans="2:13" ht="30" customHeight="1" x14ac:dyDescent="0.25">
      <c r="B9" s="44" t="s">
        <v>1147</v>
      </c>
      <c r="C9" s="180" t="s">
        <v>1148</v>
      </c>
      <c r="D9" s="180"/>
      <c r="E9" s="180"/>
      <c r="F9" s="180"/>
      <c r="G9" s="180"/>
      <c r="H9" s="180"/>
      <c r="I9" s="180"/>
      <c r="J9" s="180"/>
      <c r="K9" s="180"/>
      <c r="L9" s="180"/>
      <c r="M9" s="180"/>
    </row>
    <row r="10" spans="2:13" x14ac:dyDescent="0.25">
      <c r="B10" s="44" t="s">
        <v>1149</v>
      </c>
      <c r="C10" s="44" t="s">
        <v>1150</v>
      </c>
    </row>
    <row r="11" spans="2:13" ht="30" x14ac:dyDescent="0.25">
      <c r="B11" s="44" t="s">
        <v>1163</v>
      </c>
      <c r="C11" s="44" t="s">
        <v>1164</v>
      </c>
    </row>
    <row r="12" spans="2:13" x14ac:dyDescent="0.25">
      <c r="C12" s="44" t="s">
        <v>1165</v>
      </c>
    </row>
    <row r="13" spans="2:13" x14ac:dyDescent="0.25">
      <c r="C13" s="44" t="s">
        <v>1168</v>
      </c>
    </row>
    <row r="14" spans="2:13" ht="45" x14ac:dyDescent="0.25">
      <c r="B14" s="44" t="s">
        <v>1166</v>
      </c>
      <c r="C14" s="44" t="s">
        <v>1167</v>
      </c>
    </row>
    <row r="15" spans="2:13" ht="45" x14ac:dyDescent="0.25">
      <c r="C15" s="44" t="s">
        <v>1169</v>
      </c>
    </row>
    <row r="16" spans="2:13" ht="45" x14ac:dyDescent="0.25">
      <c r="B16" s="44" t="s">
        <v>1209</v>
      </c>
      <c r="C16" s="44" t="s">
        <v>1210</v>
      </c>
    </row>
  </sheetData>
  <mergeCells count="1">
    <mergeCell ref="C9:M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opLeftCell="A4" zoomScale="160" zoomScaleNormal="160" workbookViewId="0">
      <selection activeCell="B8" sqref="B8"/>
    </sheetView>
  </sheetViews>
  <sheetFormatPr baseColWidth="10" defaultRowHeight="15" x14ac:dyDescent="0.25"/>
  <cols>
    <col min="1" max="16384" width="11.42578125" style="47"/>
  </cols>
  <sheetData>
    <row r="1" spans="2:11" x14ac:dyDescent="0.25">
      <c r="B1" s="63" t="s">
        <v>1110</v>
      </c>
    </row>
    <row r="2" spans="2:11" x14ac:dyDescent="0.25">
      <c r="B2" s="63" t="s">
        <v>1111</v>
      </c>
    </row>
    <row r="3" spans="2:11" x14ac:dyDescent="0.25">
      <c r="B3" s="63"/>
    </row>
    <row r="4" spans="2:11" ht="15" customHeight="1" x14ac:dyDescent="0.25">
      <c r="B4" s="53" t="s">
        <v>1116</v>
      </c>
      <c r="C4" s="183" t="s">
        <v>1117</v>
      </c>
      <c r="D4" s="183"/>
      <c r="E4" s="183" t="s">
        <v>1112</v>
      </c>
      <c r="F4" s="183"/>
      <c r="G4" s="183"/>
      <c r="H4" s="183" t="s">
        <v>1113</v>
      </c>
      <c r="I4" s="183"/>
      <c r="J4" s="183"/>
      <c r="K4" s="54"/>
    </row>
    <row r="5" spans="2:11" ht="15" customHeight="1" x14ac:dyDescent="0.25">
      <c r="B5" s="55" t="s">
        <v>1118</v>
      </c>
      <c r="C5" s="182" t="s">
        <v>1119</v>
      </c>
      <c r="D5" s="182"/>
      <c r="E5" s="182" t="s">
        <v>1119</v>
      </c>
      <c r="F5" s="182"/>
      <c r="G5" s="56"/>
      <c r="H5" s="181" t="s">
        <v>1120</v>
      </c>
      <c r="I5" s="181"/>
      <c r="J5" s="181"/>
      <c r="K5" s="54"/>
    </row>
    <row r="6" spans="2:11" x14ac:dyDescent="0.25">
      <c r="B6" s="57"/>
      <c r="C6" s="58" t="s">
        <v>1121</v>
      </c>
      <c r="D6" s="58" t="s">
        <v>1122</v>
      </c>
      <c r="E6" s="58" t="s">
        <v>1121</v>
      </c>
      <c r="F6" s="58" t="s">
        <v>1122</v>
      </c>
      <c r="G6" s="58" t="s">
        <v>1123</v>
      </c>
      <c r="H6" s="58" t="s">
        <v>1121</v>
      </c>
      <c r="I6" s="58" t="s">
        <v>1122</v>
      </c>
      <c r="J6" s="58" t="s">
        <v>1123</v>
      </c>
      <c r="K6" s="54"/>
    </row>
    <row r="7" spans="2:11" x14ac:dyDescent="0.25">
      <c r="B7" s="49" t="s">
        <v>1114</v>
      </c>
      <c r="C7" s="54"/>
      <c r="D7" s="54"/>
      <c r="E7" s="54"/>
      <c r="F7" s="54"/>
      <c r="G7" s="54"/>
      <c r="H7" s="54"/>
      <c r="I7" s="54"/>
      <c r="J7" s="54"/>
      <c r="K7" s="54"/>
    </row>
    <row r="8" spans="2:11" x14ac:dyDescent="0.25">
      <c r="B8" s="59" t="s">
        <v>9</v>
      </c>
      <c r="C8" s="60">
        <v>62.5</v>
      </c>
      <c r="D8" s="60">
        <v>36.67</v>
      </c>
      <c r="E8" s="60">
        <v>118.13</v>
      </c>
      <c r="F8" s="60">
        <v>37.4</v>
      </c>
      <c r="G8" s="60">
        <v>26.27</v>
      </c>
      <c r="H8" s="60">
        <v>28.75</v>
      </c>
      <c r="I8" s="60">
        <v>9.17</v>
      </c>
      <c r="J8" s="60">
        <v>6.36</v>
      </c>
      <c r="K8" s="54"/>
    </row>
    <row r="9" spans="2:11" x14ac:dyDescent="0.25">
      <c r="B9" s="50" t="s">
        <v>8</v>
      </c>
      <c r="C9" s="61">
        <v>62.5</v>
      </c>
      <c r="D9" s="61">
        <v>50.93</v>
      </c>
      <c r="E9" s="61">
        <v>118.13</v>
      </c>
      <c r="F9" s="61">
        <v>51.95</v>
      </c>
      <c r="G9" s="61">
        <v>26.06</v>
      </c>
      <c r="H9" s="61">
        <v>28.75</v>
      </c>
      <c r="I9" s="61">
        <v>12.73</v>
      </c>
      <c r="J9" s="61">
        <v>6.31</v>
      </c>
      <c r="K9" s="54"/>
    </row>
    <row r="10" spans="2:11" x14ac:dyDescent="0.25">
      <c r="B10" s="50" t="s">
        <v>13</v>
      </c>
      <c r="C10" s="61">
        <v>83.56</v>
      </c>
      <c r="D10" s="61">
        <v>36.67</v>
      </c>
      <c r="E10" s="61">
        <v>165.45</v>
      </c>
      <c r="F10" s="61">
        <v>37.4</v>
      </c>
      <c r="G10" s="61">
        <v>26.75</v>
      </c>
      <c r="H10" s="61">
        <v>39.270000000000003</v>
      </c>
      <c r="I10" s="61">
        <v>9.17</v>
      </c>
      <c r="J10" s="61">
        <v>6.48</v>
      </c>
      <c r="K10" s="54"/>
    </row>
    <row r="11" spans="2:11" x14ac:dyDescent="0.25">
      <c r="B11" s="50" t="s">
        <v>12</v>
      </c>
      <c r="C11" s="61">
        <v>83.56</v>
      </c>
      <c r="D11" s="61">
        <v>50.93</v>
      </c>
      <c r="E11" s="61">
        <v>165.45</v>
      </c>
      <c r="F11" s="61">
        <v>51.95</v>
      </c>
      <c r="G11" s="61">
        <v>26.32</v>
      </c>
      <c r="H11" s="61">
        <v>39.270000000000003</v>
      </c>
      <c r="I11" s="61">
        <v>12.73</v>
      </c>
      <c r="J11" s="61">
        <v>6.37</v>
      </c>
      <c r="K11" s="54"/>
    </row>
    <row r="12" spans="2:11" x14ac:dyDescent="0.25">
      <c r="B12" s="50" t="s">
        <v>19</v>
      </c>
      <c r="C12" s="61">
        <v>125.68</v>
      </c>
      <c r="D12" s="50">
        <v>0</v>
      </c>
      <c r="E12" s="61">
        <v>226.22</v>
      </c>
      <c r="F12" s="50">
        <v>0</v>
      </c>
      <c r="G12" s="61">
        <v>27.91</v>
      </c>
      <c r="H12" s="61">
        <v>51.53</v>
      </c>
      <c r="I12" s="50">
        <v>0</v>
      </c>
      <c r="J12" s="61">
        <v>6.76</v>
      </c>
      <c r="K12" s="54"/>
    </row>
    <row r="13" spans="2:11" x14ac:dyDescent="0.25">
      <c r="B13" s="50" t="s">
        <v>18</v>
      </c>
      <c r="C13" s="61">
        <v>125.68</v>
      </c>
      <c r="D13" s="61">
        <v>18.329999999999998</v>
      </c>
      <c r="E13" s="61">
        <v>226.22</v>
      </c>
      <c r="F13" s="61">
        <v>18.7</v>
      </c>
      <c r="G13" s="61">
        <v>27.55</v>
      </c>
      <c r="H13" s="61">
        <v>51.53</v>
      </c>
      <c r="I13" s="61">
        <v>4.58</v>
      </c>
      <c r="J13" s="61">
        <v>6.67</v>
      </c>
      <c r="K13" s="54"/>
    </row>
    <row r="14" spans="2:11" x14ac:dyDescent="0.25">
      <c r="B14" s="50" t="s">
        <v>17</v>
      </c>
      <c r="C14" s="61">
        <v>125.68</v>
      </c>
      <c r="D14" s="61">
        <v>36.67</v>
      </c>
      <c r="E14" s="61">
        <v>226.22</v>
      </c>
      <c r="F14" s="61">
        <v>37.4</v>
      </c>
      <c r="G14" s="61">
        <v>27.63</v>
      </c>
      <c r="H14" s="61">
        <v>51.53</v>
      </c>
      <c r="I14" s="61">
        <v>9.17</v>
      </c>
      <c r="J14" s="61">
        <v>6.69</v>
      </c>
      <c r="K14" s="54"/>
    </row>
    <row r="15" spans="2:11" x14ac:dyDescent="0.25">
      <c r="B15" s="50" t="s">
        <v>16</v>
      </c>
      <c r="C15" s="61">
        <v>125.68</v>
      </c>
      <c r="D15" s="61">
        <v>50.93</v>
      </c>
      <c r="E15" s="61">
        <v>226.22</v>
      </c>
      <c r="F15" s="61">
        <v>51.95</v>
      </c>
      <c r="G15" s="61">
        <v>26.93</v>
      </c>
      <c r="H15" s="61">
        <v>51.53</v>
      </c>
      <c r="I15" s="61">
        <v>12.73</v>
      </c>
      <c r="J15" s="61">
        <v>6.52</v>
      </c>
      <c r="K15" s="54"/>
    </row>
    <row r="16" spans="2:11" x14ac:dyDescent="0.25">
      <c r="B16" s="50" t="s">
        <v>22</v>
      </c>
      <c r="C16" s="61">
        <v>178.33</v>
      </c>
      <c r="D16" s="50">
        <v>0</v>
      </c>
      <c r="E16" s="61">
        <v>310.29000000000002</v>
      </c>
      <c r="F16" s="50">
        <v>0</v>
      </c>
      <c r="G16" s="61">
        <v>28.79</v>
      </c>
      <c r="H16" s="61">
        <v>67.77</v>
      </c>
      <c r="I16" s="50">
        <v>0</v>
      </c>
      <c r="J16" s="61">
        <v>6.97</v>
      </c>
      <c r="K16" s="54"/>
    </row>
    <row r="17" spans="2:11" x14ac:dyDescent="0.25">
      <c r="B17" s="50" t="s">
        <v>21</v>
      </c>
      <c r="C17" s="61">
        <v>178.33</v>
      </c>
      <c r="D17" s="61">
        <v>18.329999999999998</v>
      </c>
      <c r="E17" s="61">
        <v>310.29000000000002</v>
      </c>
      <c r="F17" s="61">
        <v>18.7</v>
      </c>
      <c r="G17" s="61">
        <v>28.45</v>
      </c>
      <c r="H17" s="61">
        <v>67.77</v>
      </c>
      <c r="I17" s="61">
        <v>4.58</v>
      </c>
      <c r="J17" s="61">
        <v>6.89</v>
      </c>
      <c r="K17" s="54"/>
    </row>
    <row r="18" spans="2:11" x14ac:dyDescent="0.25">
      <c r="B18" s="50" t="s">
        <v>20</v>
      </c>
      <c r="C18" s="61">
        <v>178.33</v>
      </c>
      <c r="D18" s="61">
        <v>36.67</v>
      </c>
      <c r="E18" s="61">
        <v>310.29000000000002</v>
      </c>
      <c r="F18" s="61">
        <v>37.4</v>
      </c>
      <c r="G18" s="61">
        <v>27.89</v>
      </c>
      <c r="H18" s="61">
        <v>67.77</v>
      </c>
      <c r="I18" s="61">
        <v>9.17</v>
      </c>
      <c r="J18" s="61">
        <v>6.75</v>
      </c>
      <c r="K18" s="54"/>
    </row>
    <row r="19" spans="2:11" x14ac:dyDescent="0.25">
      <c r="B19" s="51" t="s">
        <v>23</v>
      </c>
      <c r="C19" s="62">
        <v>232.15</v>
      </c>
      <c r="D19" s="51">
        <v>0</v>
      </c>
      <c r="E19" s="62">
        <v>413.23</v>
      </c>
      <c r="F19" s="51">
        <v>0</v>
      </c>
      <c r="G19" s="62">
        <v>29.36</v>
      </c>
      <c r="H19" s="62">
        <v>95.18</v>
      </c>
      <c r="I19" s="51">
        <v>0</v>
      </c>
      <c r="J19" s="62">
        <v>7.11</v>
      </c>
      <c r="K19" s="54"/>
    </row>
    <row r="21" spans="2:11" x14ac:dyDescent="0.25">
      <c r="B21" s="52" t="s">
        <v>1115</v>
      </c>
      <c r="C21" s="54"/>
      <c r="D21" s="54"/>
      <c r="E21" s="54"/>
      <c r="F21" s="54"/>
      <c r="G21" s="54"/>
      <c r="H21" s="54"/>
      <c r="I21" s="54"/>
      <c r="J21" s="54"/>
      <c r="K21" s="54"/>
    </row>
    <row r="22" spans="2:11" ht="15" customHeight="1" x14ac:dyDescent="0.25">
      <c r="B22" s="53" t="s">
        <v>1116</v>
      </c>
      <c r="C22" s="183" t="s">
        <v>1117</v>
      </c>
      <c r="D22" s="183"/>
      <c r="E22" s="183" t="s">
        <v>1112</v>
      </c>
      <c r="F22" s="183"/>
      <c r="G22" s="183"/>
      <c r="H22" s="183" t="s">
        <v>1113</v>
      </c>
      <c r="I22" s="183"/>
      <c r="J22" s="183"/>
      <c r="K22" s="54"/>
    </row>
    <row r="23" spans="2:11" ht="15" customHeight="1" x14ac:dyDescent="0.25">
      <c r="B23" s="55" t="s">
        <v>1118</v>
      </c>
      <c r="C23" s="182" t="s">
        <v>1119</v>
      </c>
      <c r="D23" s="182"/>
      <c r="E23" s="182" t="s">
        <v>1119</v>
      </c>
      <c r="F23" s="182"/>
      <c r="G23" s="56"/>
      <c r="H23" s="181" t="s">
        <v>1120</v>
      </c>
      <c r="I23" s="181"/>
      <c r="J23" s="181"/>
      <c r="K23" s="54"/>
    </row>
    <row r="24" spans="2:11" ht="15" customHeight="1" x14ac:dyDescent="0.25">
      <c r="B24" s="57"/>
      <c r="C24" s="58" t="s">
        <v>1121</v>
      </c>
      <c r="D24" s="58" t="s">
        <v>1122</v>
      </c>
      <c r="E24" s="58" t="s">
        <v>1121</v>
      </c>
      <c r="F24" s="58" t="s">
        <v>1122</v>
      </c>
      <c r="G24" s="58" t="s">
        <v>1123</v>
      </c>
      <c r="H24" s="58" t="s">
        <v>1121</v>
      </c>
      <c r="I24" s="58" t="s">
        <v>1122</v>
      </c>
      <c r="J24" s="58" t="s">
        <v>1123</v>
      </c>
      <c r="K24" s="54"/>
    </row>
    <row r="25" spans="2:11" x14ac:dyDescent="0.25">
      <c r="B25" s="49" t="s">
        <v>1114</v>
      </c>
      <c r="C25" s="54"/>
      <c r="D25" s="54"/>
      <c r="E25" s="54"/>
      <c r="F25" s="54"/>
      <c r="G25" s="54"/>
      <c r="H25" s="54"/>
      <c r="I25" s="54"/>
      <c r="J25" s="54"/>
      <c r="K25" s="54"/>
    </row>
    <row r="26" spans="2:11" x14ac:dyDescent="0.25">
      <c r="B26" s="59" t="s">
        <v>9</v>
      </c>
      <c r="C26" s="60">
        <v>46.56</v>
      </c>
      <c r="D26" s="60">
        <v>26.34</v>
      </c>
      <c r="E26" s="60">
        <v>87.99</v>
      </c>
      <c r="F26" s="60">
        <v>26.86</v>
      </c>
      <c r="G26" s="60">
        <v>19.309999999999999</v>
      </c>
      <c r="H26" s="60">
        <v>21.42</v>
      </c>
      <c r="I26" s="60">
        <v>6.58</v>
      </c>
      <c r="J26" s="60">
        <v>4.67</v>
      </c>
      <c r="K26" s="54"/>
    </row>
    <row r="27" spans="2:11" x14ac:dyDescent="0.25">
      <c r="B27" s="50" t="s">
        <v>8</v>
      </c>
      <c r="C27" s="61">
        <v>46.56</v>
      </c>
      <c r="D27" s="61">
        <v>36.89</v>
      </c>
      <c r="E27" s="61">
        <v>87.99</v>
      </c>
      <c r="F27" s="61">
        <v>37.630000000000003</v>
      </c>
      <c r="G27" s="61">
        <v>19</v>
      </c>
      <c r="H27" s="61">
        <v>21.42</v>
      </c>
      <c r="I27" s="61">
        <v>9.2200000000000006</v>
      </c>
      <c r="J27" s="61">
        <v>4.5999999999999996</v>
      </c>
      <c r="K27" s="54"/>
    </row>
    <row r="28" spans="2:11" x14ac:dyDescent="0.25">
      <c r="B28" s="50" t="s">
        <v>13</v>
      </c>
      <c r="C28" s="61">
        <v>64.3</v>
      </c>
      <c r="D28" s="61">
        <v>26.34</v>
      </c>
      <c r="E28" s="61">
        <v>127.31</v>
      </c>
      <c r="F28" s="61">
        <v>26.86</v>
      </c>
      <c r="G28" s="61">
        <v>19.559999999999999</v>
      </c>
      <c r="H28" s="61">
        <v>30.22</v>
      </c>
      <c r="I28" s="61">
        <v>6.58</v>
      </c>
      <c r="J28" s="61">
        <v>4.7300000000000004</v>
      </c>
      <c r="K28" s="54"/>
    </row>
    <row r="29" spans="2:11" x14ac:dyDescent="0.25">
      <c r="B29" s="50" t="s">
        <v>12</v>
      </c>
      <c r="C29" s="61">
        <v>64.3</v>
      </c>
      <c r="D29" s="61">
        <v>36.89</v>
      </c>
      <c r="E29" s="61">
        <v>127.31</v>
      </c>
      <c r="F29" s="61">
        <v>37.630000000000003</v>
      </c>
      <c r="G29" s="61">
        <v>19.36</v>
      </c>
      <c r="H29" s="61">
        <v>30.22</v>
      </c>
      <c r="I29" s="61">
        <v>9.2200000000000006</v>
      </c>
      <c r="J29" s="61">
        <v>4.6900000000000004</v>
      </c>
      <c r="K29" s="54"/>
    </row>
    <row r="30" spans="2:11" x14ac:dyDescent="0.25">
      <c r="B30" s="50" t="s">
        <v>19</v>
      </c>
      <c r="C30" s="61">
        <v>99.78</v>
      </c>
      <c r="D30" s="50">
        <v>0</v>
      </c>
      <c r="E30" s="61">
        <v>179.6</v>
      </c>
      <c r="F30" s="50">
        <v>0</v>
      </c>
      <c r="G30" s="61">
        <v>20.440000000000001</v>
      </c>
      <c r="H30" s="61">
        <v>40.909999999999997</v>
      </c>
      <c r="I30" s="50">
        <v>0</v>
      </c>
      <c r="J30" s="61">
        <v>4.95</v>
      </c>
      <c r="K30" s="54"/>
    </row>
    <row r="31" spans="2:11" x14ac:dyDescent="0.25">
      <c r="B31" s="50" t="s">
        <v>18</v>
      </c>
      <c r="C31" s="61">
        <v>99.78</v>
      </c>
      <c r="D31" s="61">
        <v>12.76</v>
      </c>
      <c r="E31" s="61">
        <v>179.6</v>
      </c>
      <c r="F31" s="61">
        <v>13.02</v>
      </c>
      <c r="G31" s="61">
        <v>20.25</v>
      </c>
      <c r="H31" s="61">
        <v>40.909999999999997</v>
      </c>
      <c r="I31" s="61">
        <v>3.19</v>
      </c>
      <c r="J31" s="61">
        <v>4.9000000000000004</v>
      </c>
      <c r="K31" s="54"/>
    </row>
    <row r="32" spans="2:11" x14ac:dyDescent="0.25">
      <c r="B32" s="50" t="s">
        <v>17</v>
      </c>
      <c r="C32" s="61">
        <v>99.78</v>
      </c>
      <c r="D32" s="61">
        <v>26.34</v>
      </c>
      <c r="E32" s="61">
        <v>179.6</v>
      </c>
      <c r="F32" s="61">
        <v>26.86</v>
      </c>
      <c r="G32" s="61">
        <v>20.25</v>
      </c>
      <c r="H32" s="61">
        <v>40.909999999999997</v>
      </c>
      <c r="I32" s="61">
        <v>6.58</v>
      </c>
      <c r="J32" s="61">
        <v>4.9000000000000004</v>
      </c>
      <c r="K32" s="54"/>
    </row>
    <row r="33" spans="2:11" x14ac:dyDescent="0.25">
      <c r="B33" s="50" t="s">
        <v>16</v>
      </c>
      <c r="C33" s="61">
        <v>99.78</v>
      </c>
      <c r="D33" s="61">
        <v>36.89</v>
      </c>
      <c r="E33" s="61">
        <v>179.6</v>
      </c>
      <c r="F33" s="61">
        <v>37.630000000000003</v>
      </c>
      <c r="G33" s="61">
        <v>19.78</v>
      </c>
      <c r="H33" s="61">
        <v>40.909999999999997</v>
      </c>
      <c r="I33" s="61">
        <v>9.2200000000000006</v>
      </c>
      <c r="J33" s="61">
        <v>4.79</v>
      </c>
      <c r="K33" s="54"/>
    </row>
    <row r="34" spans="2:11" x14ac:dyDescent="0.25">
      <c r="B34" s="50" t="s">
        <v>22</v>
      </c>
      <c r="C34" s="61">
        <v>144.13</v>
      </c>
      <c r="D34" s="50">
        <v>0</v>
      </c>
      <c r="E34" s="61">
        <v>250.79</v>
      </c>
      <c r="F34" s="50">
        <v>0</v>
      </c>
      <c r="G34" s="61">
        <v>21.07</v>
      </c>
      <c r="H34" s="61">
        <v>54.77</v>
      </c>
      <c r="I34" s="50">
        <v>0</v>
      </c>
      <c r="J34" s="61">
        <v>5.0999999999999996</v>
      </c>
      <c r="K34" s="54"/>
    </row>
    <row r="35" spans="2:11" x14ac:dyDescent="0.25">
      <c r="B35" s="50" t="s">
        <v>21</v>
      </c>
      <c r="C35" s="61">
        <v>144.13</v>
      </c>
      <c r="D35" s="61">
        <v>12.76</v>
      </c>
      <c r="E35" s="61">
        <v>250.79</v>
      </c>
      <c r="F35" s="61">
        <v>13.02</v>
      </c>
      <c r="G35" s="61">
        <v>20.88</v>
      </c>
      <c r="H35" s="61">
        <v>54.77</v>
      </c>
      <c r="I35" s="61">
        <v>3.19</v>
      </c>
      <c r="J35" s="61">
        <v>5.05</v>
      </c>
      <c r="K35" s="54"/>
    </row>
    <row r="36" spans="2:11" x14ac:dyDescent="0.25">
      <c r="B36" s="50" t="s">
        <v>20</v>
      </c>
      <c r="C36" s="61">
        <v>144.13</v>
      </c>
      <c r="D36" s="61">
        <v>26.34</v>
      </c>
      <c r="E36" s="61">
        <v>250.79</v>
      </c>
      <c r="F36" s="61">
        <v>26.86</v>
      </c>
      <c r="G36" s="61">
        <v>20.440000000000001</v>
      </c>
      <c r="H36" s="61">
        <v>54.77</v>
      </c>
      <c r="I36" s="61">
        <v>6.58</v>
      </c>
      <c r="J36" s="61">
        <v>4.95</v>
      </c>
      <c r="K36" s="54"/>
    </row>
    <row r="37" spans="2:11" x14ac:dyDescent="0.25">
      <c r="B37" s="51" t="s">
        <v>23</v>
      </c>
      <c r="C37" s="62">
        <v>189.47</v>
      </c>
      <c r="D37" s="51">
        <v>0</v>
      </c>
      <c r="E37" s="62">
        <v>337.25</v>
      </c>
      <c r="F37" s="51">
        <v>0</v>
      </c>
      <c r="G37" s="62">
        <v>21.51</v>
      </c>
      <c r="H37" s="62">
        <v>77.680000000000007</v>
      </c>
      <c r="I37" s="51">
        <v>0</v>
      </c>
      <c r="J37" s="62">
        <v>5.21</v>
      </c>
      <c r="K37" s="54"/>
    </row>
  </sheetData>
  <mergeCells count="12">
    <mergeCell ref="E4:G4"/>
    <mergeCell ref="H4:J4"/>
    <mergeCell ref="H5:J5"/>
    <mergeCell ref="C5:D5"/>
    <mergeCell ref="E5:F5"/>
    <mergeCell ref="C4:D4"/>
    <mergeCell ref="H23:J23"/>
    <mergeCell ref="C23:D23"/>
    <mergeCell ref="E23:F23"/>
    <mergeCell ref="E22:G22"/>
    <mergeCell ref="H22:J22"/>
    <mergeCell ref="C22:D22"/>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729"/>
  <sheetViews>
    <sheetView zoomScale="85" zoomScaleNormal="85" workbookViewId="0">
      <pane xSplit="1" ySplit="1" topLeftCell="B2" activePane="bottomRight" state="frozen"/>
      <selection pane="topRight" activeCell="B1" sqref="B1"/>
      <selection pane="bottomLeft" activeCell="A2" sqref="A2"/>
      <selection pane="bottomRight" activeCell="Y15" sqref="Y15"/>
    </sheetView>
  </sheetViews>
  <sheetFormatPr baseColWidth="10" defaultRowHeight="15" x14ac:dyDescent="0.25"/>
  <cols>
    <col min="1" max="1" width="38.85546875" style="22" bestFit="1" customWidth="1"/>
    <col min="2" max="2" width="8.5703125" style="22" bestFit="1" customWidth="1"/>
    <col min="3" max="8" width="11.42578125" style="22"/>
    <col min="9" max="9" width="11.42578125" style="135"/>
    <col min="10" max="20" width="11.42578125" style="22"/>
    <col min="21" max="21" width="11.42578125" style="135"/>
    <col min="22" max="32" width="11.42578125" style="22"/>
    <col min="33" max="33" width="11.42578125" style="135"/>
    <col min="34" max="44" width="11.42578125" style="22"/>
    <col min="45" max="45" width="11.42578125" style="135"/>
    <col min="46" max="16384" width="11.42578125" style="22"/>
  </cols>
  <sheetData>
    <row r="1" spans="1:48" ht="15.75" thickBot="1" x14ac:dyDescent="0.3">
      <c r="B1" s="175" t="str">
        <f>Municipio!T2</f>
        <v>1.- Vivienda unifamiliar</v>
      </c>
      <c r="C1" s="175"/>
      <c r="D1" s="175"/>
      <c r="E1" s="175"/>
      <c r="F1" s="175"/>
      <c r="G1" s="175"/>
      <c r="H1" s="175"/>
      <c r="I1" s="175"/>
      <c r="J1" s="175"/>
      <c r="K1" s="175"/>
      <c r="L1" s="175"/>
      <c r="N1" s="175" t="str">
        <f>Municipio!T3</f>
        <v>2.- Vivienda en un bloque</v>
      </c>
      <c r="O1" s="175"/>
      <c r="P1" s="175"/>
      <c r="Q1" s="175"/>
      <c r="R1" s="175"/>
      <c r="S1" s="175"/>
      <c r="T1" s="175"/>
      <c r="U1" s="175"/>
      <c r="V1" s="175"/>
      <c r="W1" s="175"/>
      <c r="X1" s="175"/>
      <c r="Y1" s="22" t="s">
        <v>1046</v>
      </c>
      <c r="Z1" s="175" t="str">
        <f>Municipio!T4</f>
        <v>3.- Edificio terciario</v>
      </c>
      <c r="AA1" s="175"/>
      <c r="AB1" s="175"/>
      <c r="AC1" s="175"/>
      <c r="AD1" s="175"/>
      <c r="AE1" s="175"/>
      <c r="AF1" s="175"/>
      <c r="AG1" s="175"/>
      <c r="AH1" s="175"/>
      <c r="AI1" s="175"/>
      <c r="AJ1" s="175"/>
      <c r="AL1" s="175" t="str">
        <f>Municipio!T5</f>
        <v>4.- Gran edificio terciario</v>
      </c>
      <c r="AM1" s="175"/>
      <c r="AN1" s="175"/>
      <c r="AO1" s="175"/>
      <c r="AP1" s="175"/>
      <c r="AQ1" s="175"/>
      <c r="AR1" s="175"/>
      <c r="AS1" s="175"/>
      <c r="AT1" s="175"/>
      <c r="AU1" s="175"/>
      <c r="AV1" s="175"/>
    </row>
    <row r="2" spans="1:48" ht="15.75" thickTop="1" x14ac:dyDescent="0.25">
      <c r="B2" s="32">
        <v>1899</v>
      </c>
      <c r="C2" s="33" t="s">
        <v>8</v>
      </c>
      <c r="D2" s="34" t="s">
        <v>9</v>
      </c>
      <c r="E2" s="34" t="s">
        <v>12</v>
      </c>
      <c r="F2" s="34" t="s">
        <v>13</v>
      </c>
      <c r="G2" s="34" t="s">
        <v>16</v>
      </c>
      <c r="H2" s="34" t="s">
        <v>17</v>
      </c>
      <c r="I2" s="34" t="s">
        <v>18</v>
      </c>
      <c r="J2" s="34" t="s">
        <v>20</v>
      </c>
      <c r="K2" s="34" t="s">
        <v>21</v>
      </c>
      <c r="L2" s="35" t="s">
        <v>23</v>
      </c>
      <c r="N2" s="32">
        <v>1899</v>
      </c>
      <c r="O2" s="33" t="s">
        <v>8</v>
      </c>
      <c r="P2" s="34" t="s">
        <v>9</v>
      </c>
      <c r="Q2" s="34" t="s">
        <v>12</v>
      </c>
      <c r="R2" s="34" t="s">
        <v>13</v>
      </c>
      <c r="S2" s="34" t="s">
        <v>16</v>
      </c>
      <c r="T2" s="34" t="s">
        <v>17</v>
      </c>
      <c r="U2" s="34" t="s">
        <v>18</v>
      </c>
      <c r="V2" s="34" t="s">
        <v>20</v>
      </c>
      <c r="W2" s="34" t="s">
        <v>21</v>
      </c>
      <c r="X2" s="35" t="s">
        <v>23</v>
      </c>
      <c r="Z2" s="32">
        <v>1899</v>
      </c>
      <c r="AA2" s="33" t="s">
        <v>8</v>
      </c>
      <c r="AB2" s="34" t="s">
        <v>9</v>
      </c>
      <c r="AC2" s="34" t="s">
        <v>12</v>
      </c>
      <c r="AD2" s="34" t="s">
        <v>13</v>
      </c>
      <c r="AE2" s="34" t="s">
        <v>16</v>
      </c>
      <c r="AF2" s="34" t="s">
        <v>17</v>
      </c>
      <c r="AG2" s="34" t="s">
        <v>18</v>
      </c>
      <c r="AH2" s="34" t="s">
        <v>20</v>
      </c>
      <c r="AI2" s="34" t="s">
        <v>21</v>
      </c>
      <c r="AJ2" s="35" t="s">
        <v>23</v>
      </c>
      <c r="AL2" s="32">
        <v>1899</v>
      </c>
      <c r="AM2" s="33" t="s">
        <v>8</v>
      </c>
      <c r="AN2" s="34" t="s">
        <v>9</v>
      </c>
      <c r="AO2" s="34" t="s">
        <v>12</v>
      </c>
      <c r="AP2" s="34" t="s">
        <v>13</v>
      </c>
      <c r="AQ2" s="34" t="s">
        <v>16</v>
      </c>
      <c r="AR2" s="34" t="s">
        <v>17</v>
      </c>
      <c r="AS2" s="34" t="s">
        <v>18</v>
      </c>
      <c r="AT2" s="34" t="s">
        <v>20</v>
      </c>
      <c r="AU2" s="34" t="s">
        <v>21</v>
      </c>
      <c r="AV2" s="35" t="s">
        <v>23</v>
      </c>
    </row>
    <row r="3" spans="1:48" x14ac:dyDescent="0.25">
      <c r="A3" s="23" t="s">
        <v>1052</v>
      </c>
      <c r="B3" s="36" t="s">
        <v>1042</v>
      </c>
      <c r="C3" s="37">
        <v>1.48</v>
      </c>
      <c r="D3" s="37">
        <v>1.48</v>
      </c>
      <c r="E3" s="37">
        <v>1.48</v>
      </c>
      <c r="F3" s="37">
        <v>1.48</v>
      </c>
      <c r="G3" s="37">
        <v>1.48</v>
      </c>
      <c r="H3" s="37">
        <v>1.48</v>
      </c>
      <c r="I3" s="37">
        <v>1.48</v>
      </c>
      <c r="J3" s="37">
        <v>1.48</v>
      </c>
      <c r="K3" s="37">
        <v>1.48</v>
      </c>
      <c r="L3" s="38">
        <v>1.48</v>
      </c>
      <c r="N3" s="36" t="s">
        <v>1042</v>
      </c>
      <c r="O3" s="37">
        <v>1.41</v>
      </c>
      <c r="P3" s="37">
        <v>1.41</v>
      </c>
      <c r="Q3" s="37">
        <v>1.41</v>
      </c>
      <c r="R3" s="37">
        <v>1.41</v>
      </c>
      <c r="S3" s="37">
        <v>1.41</v>
      </c>
      <c r="T3" s="37">
        <v>1.41</v>
      </c>
      <c r="U3" s="37">
        <v>1.41</v>
      </c>
      <c r="V3" s="37">
        <v>1.41</v>
      </c>
      <c r="W3" s="37">
        <v>1.41</v>
      </c>
      <c r="X3" s="38">
        <v>1.41</v>
      </c>
      <c r="Z3" s="36" t="s">
        <v>1042</v>
      </c>
      <c r="AA3" s="37">
        <v>1.48</v>
      </c>
      <c r="AB3" s="37">
        <v>1.48</v>
      </c>
      <c r="AC3" s="37">
        <v>1.48</v>
      </c>
      <c r="AD3" s="37">
        <v>1.48</v>
      </c>
      <c r="AE3" s="37">
        <v>1.48</v>
      </c>
      <c r="AF3" s="37">
        <v>1.48</v>
      </c>
      <c r="AG3" s="37">
        <v>1.48</v>
      </c>
      <c r="AH3" s="37">
        <v>1.48</v>
      </c>
      <c r="AI3" s="37">
        <v>1.48</v>
      </c>
      <c r="AJ3" s="38">
        <v>1.48</v>
      </c>
      <c r="AL3" s="36" t="s">
        <v>1042</v>
      </c>
      <c r="AM3" s="37">
        <v>1.41</v>
      </c>
      <c r="AN3" s="37">
        <v>1.41</v>
      </c>
      <c r="AO3" s="37">
        <v>1.41</v>
      </c>
      <c r="AP3" s="37">
        <v>1.41</v>
      </c>
      <c r="AQ3" s="37">
        <v>1.41</v>
      </c>
      <c r="AR3" s="37">
        <v>1.41</v>
      </c>
      <c r="AS3" s="37">
        <v>1.41</v>
      </c>
      <c r="AT3" s="37">
        <v>1.41</v>
      </c>
      <c r="AU3" s="37">
        <v>1.41</v>
      </c>
      <c r="AV3" s="38">
        <v>1.41</v>
      </c>
    </row>
    <row r="4" spans="1:48" x14ac:dyDescent="0.25">
      <c r="A4" s="23" t="s">
        <v>1052</v>
      </c>
      <c r="B4" s="36" t="s">
        <v>1043</v>
      </c>
      <c r="C4" s="39">
        <v>3.31</v>
      </c>
      <c r="D4" s="39">
        <v>3.31</v>
      </c>
      <c r="E4" s="39">
        <v>3.31</v>
      </c>
      <c r="F4" s="39">
        <v>3.31</v>
      </c>
      <c r="G4" s="39">
        <v>3.31</v>
      </c>
      <c r="H4" s="39">
        <v>3.31</v>
      </c>
      <c r="I4" s="39">
        <v>3.31</v>
      </c>
      <c r="J4" s="39">
        <v>3.31</v>
      </c>
      <c r="K4" s="39">
        <v>3.31</v>
      </c>
      <c r="L4" s="40">
        <v>3.31</v>
      </c>
      <c r="N4" s="36" t="s">
        <v>1043</v>
      </c>
      <c r="O4" s="39">
        <v>0.7</v>
      </c>
      <c r="P4" s="39">
        <v>0.7</v>
      </c>
      <c r="Q4" s="39">
        <v>0.7</v>
      </c>
      <c r="R4" s="39">
        <v>0.7</v>
      </c>
      <c r="S4" s="39">
        <v>0.7</v>
      </c>
      <c r="T4" s="39">
        <v>0.7</v>
      </c>
      <c r="U4" s="39">
        <v>0.7</v>
      </c>
      <c r="V4" s="39">
        <v>0.7</v>
      </c>
      <c r="W4" s="39">
        <v>0.7</v>
      </c>
      <c r="X4" s="40">
        <v>0.7</v>
      </c>
      <c r="Z4" s="36" t="s">
        <v>1043</v>
      </c>
      <c r="AA4" s="39">
        <v>3.31</v>
      </c>
      <c r="AB4" s="39">
        <v>3.31</v>
      </c>
      <c r="AC4" s="39">
        <v>3.31</v>
      </c>
      <c r="AD4" s="39">
        <v>3.31</v>
      </c>
      <c r="AE4" s="39">
        <v>3.31</v>
      </c>
      <c r="AF4" s="39">
        <v>3.31</v>
      </c>
      <c r="AG4" s="39">
        <v>3.31</v>
      </c>
      <c r="AH4" s="39">
        <v>3.31</v>
      </c>
      <c r="AI4" s="39">
        <v>3.31</v>
      </c>
      <c r="AJ4" s="40">
        <v>3.31</v>
      </c>
      <c r="AL4" s="36" t="s">
        <v>1043</v>
      </c>
      <c r="AM4" s="39">
        <v>0.7</v>
      </c>
      <c r="AN4" s="39">
        <v>0.7</v>
      </c>
      <c r="AO4" s="39">
        <v>0.7</v>
      </c>
      <c r="AP4" s="39">
        <v>0.7</v>
      </c>
      <c r="AQ4" s="39">
        <v>0.7</v>
      </c>
      <c r="AR4" s="39">
        <v>0.7</v>
      </c>
      <c r="AS4" s="39">
        <v>0.7</v>
      </c>
      <c r="AT4" s="39">
        <v>0.7</v>
      </c>
      <c r="AU4" s="39">
        <v>0.7</v>
      </c>
      <c r="AV4" s="40">
        <v>0.7</v>
      </c>
    </row>
    <row r="5" spans="1:48" x14ac:dyDescent="0.25">
      <c r="A5" s="23" t="s">
        <v>1052</v>
      </c>
      <c r="B5" s="36" t="s">
        <v>1044</v>
      </c>
      <c r="C5" s="37">
        <v>2.4700000000000002</v>
      </c>
      <c r="D5" s="37">
        <v>2.4700000000000002</v>
      </c>
      <c r="E5" s="37">
        <v>2.4700000000000002</v>
      </c>
      <c r="F5" s="37">
        <v>2.4700000000000002</v>
      </c>
      <c r="G5" s="37">
        <v>2.4700000000000002</v>
      </c>
      <c r="H5" s="37">
        <v>2.4700000000000002</v>
      </c>
      <c r="I5" s="37">
        <v>2.4700000000000002</v>
      </c>
      <c r="J5" s="37">
        <v>2.4700000000000002</v>
      </c>
      <c r="K5" s="37">
        <v>2.4700000000000002</v>
      </c>
      <c r="L5" s="38">
        <v>2.4700000000000002</v>
      </c>
      <c r="N5" s="36" t="s">
        <v>1044</v>
      </c>
      <c r="O5" s="37">
        <v>0.53</v>
      </c>
      <c r="P5" s="37">
        <v>0.53</v>
      </c>
      <c r="Q5" s="37">
        <v>0.53</v>
      </c>
      <c r="R5" s="37">
        <v>0.53</v>
      </c>
      <c r="S5" s="37">
        <v>0.53</v>
      </c>
      <c r="T5" s="37">
        <v>0.53</v>
      </c>
      <c r="U5" s="37">
        <v>0.53</v>
      </c>
      <c r="V5" s="37">
        <v>0.53</v>
      </c>
      <c r="W5" s="37">
        <v>0.53</v>
      </c>
      <c r="X5" s="38">
        <v>0.53</v>
      </c>
      <c r="Z5" s="36" t="s">
        <v>1044</v>
      </c>
      <c r="AA5" s="37">
        <v>2.4700000000000002</v>
      </c>
      <c r="AB5" s="37">
        <v>2.4700000000000002</v>
      </c>
      <c r="AC5" s="37">
        <v>2.4700000000000002</v>
      </c>
      <c r="AD5" s="37">
        <v>2.4700000000000002</v>
      </c>
      <c r="AE5" s="37">
        <v>2.4700000000000002</v>
      </c>
      <c r="AF5" s="37">
        <v>2.4700000000000002</v>
      </c>
      <c r="AG5" s="37">
        <v>2.4700000000000002</v>
      </c>
      <c r="AH5" s="37">
        <v>2.4700000000000002</v>
      </c>
      <c r="AI5" s="37">
        <v>2.4700000000000002</v>
      </c>
      <c r="AJ5" s="38">
        <v>2.4700000000000002</v>
      </c>
      <c r="AL5" s="36" t="s">
        <v>1044</v>
      </c>
      <c r="AM5" s="37">
        <v>0.53</v>
      </c>
      <c r="AN5" s="37">
        <v>0.53</v>
      </c>
      <c r="AO5" s="37">
        <v>0.53</v>
      </c>
      <c r="AP5" s="37">
        <v>0.53</v>
      </c>
      <c r="AQ5" s="37">
        <v>0.53</v>
      </c>
      <c r="AR5" s="37">
        <v>0.53</v>
      </c>
      <c r="AS5" s="37">
        <v>0.53</v>
      </c>
      <c r="AT5" s="37">
        <v>0.53</v>
      </c>
      <c r="AU5" s="37">
        <v>0.53</v>
      </c>
      <c r="AV5" s="38">
        <v>0.53</v>
      </c>
    </row>
    <row r="6" spans="1:48" x14ac:dyDescent="0.25">
      <c r="A6" s="23" t="s">
        <v>1052</v>
      </c>
      <c r="B6" s="36" t="s">
        <v>1041</v>
      </c>
      <c r="C6" s="39">
        <v>10</v>
      </c>
      <c r="D6" s="39">
        <v>10</v>
      </c>
      <c r="E6" s="39">
        <v>10</v>
      </c>
      <c r="F6" s="39">
        <v>10</v>
      </c>
      <c r="G6" s="39">
        <v>10</v>
      </c>
      <c r="H6" s="39">
        <v>10</v>
      </c>
      <c r="I6" s="39">
        <v>10</v>
      </c>
      <c r="J6" s="39">
        <v>10</v>
      </c>
      <c r="K6" s="39">
        <v>10</v>
      </c>
      <c r="L6" s="40">
        <v>10</v>
      </c>
      <c r="N6" s="36" t="s">
        <v>1041</v>
      </c>
      <c r="O6" s="39">
        <v>10</v>
      </c>
      <c r="P6" s="39">
        <v>10</v>
      </c>
      <c r="Q6" s="39">
        <v>10</v>
      </c>
      <c r="R6" s="39">
        <v>10</v>
      </c>
      <c r="S6" s="39">
        <v>10</v>
      </c>
      <c r="T6" s="39">
        <v>10</v>
      </c>
      <c r="U6" s="39">
        <v>10</v>
      </c>
      <c r="V6" s="39">
        <v>10</v>
      </c>
      <c r="W6" s="39">
        <v>10</v>
      </c>
      <c r="X6" s="40">
        <v>10</v>
      </c>
      <c r="Z6" s="36" t="s">
        <v>1041</v>
      </c>
      <c r="AA6" s="39">
        <v>10</v>
      </c>
      <c r="AB6" s="39">
        <v>10</v>
      </c>
      <c r="AC6" s="39">
        <v>10</v>
      </c>
      <c r="AD6" s="39">
        <v>10</v>
      </c>
      <c r="AE6" s="39">
        <v>10</v>
      </c>
      <c r="AF6" s="39">
        <v>10</v>
      </c>
      <c r="AG6" s="39">
        <v>10</v>
      </c>
      <c r="AH6" s="39">
        <v>10</v>
      </c>
      <c r="AI6" s="39">
        <v>10</v>
      </c>
      <c r="AJ6" s="40">
        <v>10</v>
      </c>
      <c r="AL6" s="36" t="s">
        <v>1041</v>
      </c>
      <c r="AM6" s="39">
        <v>10</v>
      </c>
      <c r="AN6" s="39">
        <v>10</v>
      </c>
      <c r="AO6" s="39">
        <v>10</v>
      </c>
      <c r="AP6" s="39">
        <v>10</v>
      </c>
      <c r="AQ6" s="39">
        <v>10</v>
      </c>
      <c r="AR6" s="39">
        <v>10</v>
      </c>
      <c r="AS6" s="39">
        <v>10</v>
      </c>
      <c r="AT6" s="39">
        <v>10</v>
      </c>
      <c r="AU6" s="39">
        <v>10</v>
      </c>
      <c r="AV6" s="40">
        <v>10</v>
      </c>
    </row>
    <row r="7" spans="1:48" ht="15.75" thickBot="1" x14ac:dyDescent="0.3">
      <c r="A7" s="23" t="s">
        <v>1052</v>
      </c>
      <c r="B7" s="41" t="s">
        <v>1045</v>
      </c>
      <c r="C7" s="42">
        <v>25</v>
      </c>
      <c r="D7" s="42">
        <v>25</v>
      </c>
      <c r="E7" s="42">
        <v>25</v>
      </c>
      <c r="F7" s="42">
        <v>25</v>
      </c>
      <c r="G7" s="42">
        <v>25</v>
      </c>
      <c r="H7" s="42">
        <v>25</v>
      </c>
      <c r="I7" s="42">
        <v>25</v>
      </c>
      <c r="J7" s="42">
        <v>25</v>
      </c>
      <c r="K7" s="42">
        <v>25</v>
      </c>
      <c r="L7" s="43">
        <v>25</v>
      </c>
      <c r="N7" s="41" t="s">
        <v>1045</v>
      </c>
      <c r="O7" s="42">
        <v>25</v>
      </c>
      <c r="P7" s="42">
        <v>25</v>
      </c>
      <c r="Q7" s="42">
        <v>25</v>
      </c>
      <c r="R7" s="42">
        <v>25</v>
      </c>
      <c r="S7" s="42">
        <v>25</v>
      </c>
      <c r="T7" s="42">
        <v>25</v>
      </c>
      <c r="U7" s="42">
        <v>25</v>
      </c>
      <c r="V7" s="42">
        <v>25</v>
      </c>
      <c r="W7" s="42">
        <v>25</v>
      </c>
      <c r="X7" s="43">
        <v>25</v>
      </c>
      <c r="Z7" s="41" t="s">
        <v>1045</v>
      </c>
      <c r="AA7" s="42">
        <v>25</v>
      </c>
      <c r="AB7" s="42">
        <v>25</v>
      </c>
      <c r="AC7" s="42">
        <v>25</v>
      </c>
      <c r="AD7" s="42">
        <v>25</v>
      </c>
      <c r="AE7" s="42">
        <v>25</v>
      </c>
      <c r="AF7" s="42">
        <v>25</v>
      </c>
      <c r="AG7" s="42">
        <v>25</v>
      </c>
      <c r="AH7" s="42">
        <v>25</v>
      </c>
      <c r="AI7" s="42">
        <v>25</v>
      </c>
      <c r="AJ7" s="43">
        <v>25</v>
      </c>
      <c r="AL7" s="41" t="s">
        <v>1045</v>
      </c>
      <c r="AM7" s="42">
        <v>25</v>
      </c>
      <c r="AN7" s="42">
        <v>25</v>
      </c>
      <c r="AO7" s="42">
        <v>25</v>
      </c>
      <c r="AP7" s="42">
        <v>25</v>
      </c>
      <c r="AQ7" s="42">
        <v>25</v>
      </c>
      <c r="AR7" s="42">
        <v>25</v>
      </c>
      <c r="AS7" s="42">
        <v>25</v>
      </c>
      <c r="AT7" s="42">
        <v>25</v>
      </c>
      <c r="AU7" s="42">
        <v>25</v>
      </c>
      <c r="AV7" s="43">
        <v>25</v>
      </c>
    </row>
    <row r="8" spans="1:48" ht="15.75" thickTop="1" x14ac:dyDescent="0.25">
      <c r="B8" s="32">
        <v>1939</v>
      </c>
      <c r="C8" s="33" t="s">
        <v>8</v>
      </c>
      <c r="D8" s="34" t="s">
        <v>9</v>
      </c>
      <c r="E8" s="34" t="s">
        <v>12</v>
      </c>
      <c r="F8" s="34" t="s">
        <v>13</v>
      </c>
      <c r="G8" s="34" t="s">
        <v>16</v>
      </c>
      <c r="H8" s="34" t="s">
        <v>17</v>
      </c>
      <c r="I8" s="34" t="s">
        <v>18</v>
      </c>
      <c r="J8" s="34" t="s">
        <v>20</v>
      </c>
      <c r="K8" s="34" t="s">
        <v>21</v>
      </c>
      <c r="L8" s="35" t="s">
        <v>23</v>
      </c>
      <c r="N8" s="32">
        <v>1939</v>
      </c>
      <c r="O8" s="33" t="s">
        <v>8</v>
      </c>
      <c r="P8" s="34" t="s">
        <v>9</v>
      </c>
      <c r="Q8" s="34" t="s">
        <v>12</v>
      </c>
      <c r="R8" s="34" t="s">
        <v>13</v>
      </c>
      <c r="S8" s="34" t="s">
        <v>16</v>
      </c>
      <c r="T8" s="34" t="s">
        <v>17</v>
      </c>
      <c r="U8" s="34" t="s">
        <v>18</v>
      </c>
      <c r="V8" s="34" t="s">
        <v>20</v>
      </c>
      <c r="W8" s="34" t="s">
        <v>21</v>
      </c>
      <c r="X8" s="35" t="s">
        <v>23</v>
      </c>
      <c r="Z8" s="32">
        <v>1939</v>
      </c>
      <c r="AA8" s="33" t="s">
        <v>8</v>
      </c>
      <c r="AB8" s="34" t="s">
        <v>9</v>
      </c>
      <c r="AC8" s="34" t="s">
        <v>12</v>
      </c>
      <c r="AD8" s="34" t="s">
        <v>13</v>
      </c>
      <c r="AE8" s="34" t="s">
        <v>16</v>
      </c>
      <c r="AF8" s="34" t="s">
        <v>17</v>
      </c>
      <c r="AG8" s="34" t="s">
        <v>18</v>
      </c>
      <c r="AH8" s="34" t="s">
        <v>20</v>
      </c>
      <c r="AI8" s="34" t="s">
        <v>21</v>
      </c>
      <c r="AJ8" s="35" t="s">
        <v>23</v>
      </c>
      <c r="AL8" s="32">
        <v>1939</v>
      </c>
      <c r="AM8" s="33" t="s">
        <v>8</v>
      </c>
      <c r="AN8" s="34" t="s">
        <v>9</v>
      </c>
      <c r="AO8" s="34" t="s">
        <v>12</v>
      </c>
      <c r="AP8" s="34" t="s">
        <v>13</v>
      </c>
      <c r="AQ8" s="34" t="s">
        <v>16</v>
      </c>
      <c r="AR8" s="34" t="s">
        <v>17</v>
      </c>
      <c r="AS8" s="34" t="s">
        <v>18</v>
      </c>
      <c r="AT8" s="34" t="s">
        <v>20</v>
      </c>
      <c r="AU8" s="34" t="s">
        <v>21</v>
      </c>
      <c r="AV8" s="35" t="s">
        <v>23</v>
      </c>
    </row>
    <row r="9" spans="1:48" x14ac:dyDescent="0.25">
      <c r="A9" s="22" t="s">
        <v>1053</v>
      </c>
      <c r="B9" s="36" t="s">
        <v>1042</v>
      </c>
      <c r="C9" s="37">
        <v>1.68</v>
      </c>
      <c r="D9" s="37">
        <v>1.68</v>
      </c>
      <c r="E9" s="37">
        <v>1.68</v>
      </c>
      <c r="F9" s="37">
        <v>1.68</v>
      </c>
      <c r="G9" s="37">
        <v>1.68</v>
      </c>
      <c r="H9" s="37">
        <v>1.68</v>
      </c>
      <c r="I9" s="37">
        <v>1.68</v>
      </c>
      <c r="J9" s="37">
        <v>1.68</v>
      </c>
      <c r="K9" s="37">
        <v>1.68</v>
      </c>
      <c r="L9" s="38">
        <v>1.68</v>
      </c>
      <c r="N9" s="36" t="s">
        <v>1042</v>
      </c>
      <c r="O9" s="37">
        <v>1.68</v>
      </c>
      <c r="P9" s="37">
        <v>1.68</v>
      </c>
      <c r="Q9" s="37">
        <v>1.68</v>
      </c>
      <c r="R9" s="37">
        <v>1.68</v>
      </c>
      <c r="S9" s="37">
        <v>1.68</v>
      </c>
      <c r="T9" s="37">
        <v>1.68</v>
      </c>
      <c r="U9" s="37">
        <v>1.68</v>
      </c>
      <c r="V9" s="37">
        <v>1.68</v>
      </c>
      <c r="W9" s="37">
        <v>1.68</v>
      </c>
      <c r="X9" s="38">
        <v>1.68</v>
      </c>
      <c r="Z9" s="36" t="s">
        <v>1042</v>
      </c>
      <c r="AA9" s="37">
        <v>1.37</v>
      </c>
      <c r="AB9" s="37">
        <v>1.37</v>
      </c>
      <c r="AC9" s="37">
        <v>1.37</v>
      </c>
      <c r="AD9" s="37">
        <v>1.37</v>
      </c>
      <c r="AE9" s="37">
        <v>1.37</v>
      </c>
      <c r="AF9" s="37">
        <v>1.37</v>
      </c>
      <c r="AG9" s="37">
        <v>1.37</v>
      </c>
      <c r="AH9" s="37">
        <v>1.37</v>
      </c>
      <c r="AI9" s="37">
        <v>1.37</v>
      </c>
      <c r="AJ9" s="38">
        <v>1.37</v>
      </c>
      <c r="AL9" s="36" t="s">
        <v>1042</v>
      </c>
      <c r="AM9" s="37">
        <v>1.37</v>
      </c>
      <c r="AN9" s="37">
        <v>1.37</v>
      </c>
      <c r="AO9" s="37">
        <v>1.37</v>
      </c>
      <c r="AP9" s="37">
        <v>1.37</v>
      </c>
      <c r="AQ9" s="37">
        <v>1.37</v>
      </c>
      <c r="AR9" s="37">
        <v>1.37</v>
      </c>
      <c r="AS9" s="37">
        <v>1.37</v>
      </c>
      <c r="AT9" s="37">
        <v>1.37</v>
      </c>
      <c r="AU9" s="37">
        <v>1.37</v>
      </c>
      <c r="AV9" s="38">
        <v>1.37</v>
      </c>
    </row>
    <row r="10" spans="1:48" x14ac:dyDescent="0.25">
      <c r="A10" s="23" t="s">
        <v>1053</v>
      </c>
      <c r="B10" s="36" t="s">
        <v>1043</v>
      </c>
      <c r="C10" s="39">
        <v>3.31</v>
      </c>
      <c r="D10" s="39">
        <v>3.31</v>
      </c>
      <c r="E10" s="39">
        <v>3.31</v>
      </c>
      <c r="F10" s="39">
        <v>3.31</v>
      </c>
      <c r="G10" s="39">
        <v>3.31</v>
      </c>
      <c r="H10" s="39">
        <v>3.31</v>
      </c>
      <c r="I10" s="39">
        <v>3.31</v>
      </c>
      <c r="J10" s="39">
        <v>3.31</v>
      </c>
      <c r="K10" s="39">
        <v>3.31</v>
      </c>
      <c r="L10" s="40">
        <v>3.31</v>
      </c>
      <c r="N10" s="36" t="s">
        <v>1043</v>
      </c>
      <c r="O10" s="39">
        <v>3.31</v>
      </c>
      <c r="P10" s="39">
        <v>3.31</v>
      </c>
      <c r="Q10" s="39">
        <v>3.31</v>
      </c>
      <c r="R10" s="39">
        <v>3.31</v>
      </c>
      <c r="S10" s="39">
        <v>3.31</v>
      </c>
      <c r="T10" s="39">
        <v>3.31</v>
      </c>
      <c r="U10" s="39">
        <v>3.31</v>
      </c>
      <c r="V10" s="39">
        <v>3.31</v>
      </c>
      <c r="W10" s="39">
        <v>3.31</v>
      </c>
      <c r="X10" s="40">
        <v>3.31</v>
      </c>
      <c r="Z10" s="36" t="s">
        <v>1043</v>
      </c>
      <c r="AA10" s="39">
        <v>0.7</v>
      </c>
      <c r="AB10" s="39">
        <v>0.7</v>
      </c>
      <c r="AC10" s="39">
        <v>0.7</v>
      </c>
      <c r="AD10" s="39">
        <v>0.7</v>
      </c>
      <c r="AE10" s="39">
        <v>0.7</v>
      </c>
      <c r="AF10" s="39">
        <v>0.7</v>
      </c>
      <c r="AG10" s="39">
        <v>0.7</v>
      </c>
      <c r="AH10" s="39">
        <v>0.7</v>
      </c>
      <c r="AI10" s="39">
        <v>0.7</v>
      </c>
      <c r="AJ10" s="40">
        <v>0.7</v>
      </c>
      <c r="AL10" s="36" t="s">
        <v>1043</v>
      </c>
      <c r="AM10" s="39">
        <v>0.7</v>
      </c>
      <c r="AN10" s="39">
        <v>0.7</v>
      </c>
      <c r="AO10" s="39">
        <v>0.7</v>
      </c>
      <c r="AP10" s="39">
        <v>0.7</v>
      </c>
      <c r="AQ10" s="39">
        <v>0.7</v>
      </c>
      <c r="AR10" s="39">
        <v>0.7</v>
      </c>
      <c r="AS10" s="39">
        <v>0.7</v>
      </c>
      <c r="AT10" s="39">
        <v>0.7</v>
      </c>
      <c r="AU10" s="39">
        <v>0.7</v>
      </c>
      <c r="AV10" s="40">
        <v>0.7</v>
      </c>
    </row>
    <row r="11" spans="1:48" x14ac:dyDescent="0.25">
      <c r="A11" s="23" t="s">
        <v>1053</v>
      </c>
      <c r="B11" s="36" t="s">
        <v>1044</v>
      </c>
      <c r="C11" s="37">
        <v>2.4700000000000002</v>
      </c>
      <c r="D11" s="37">
        <v>2.4700000000000002</v>
      </c>
      <c r="E11" s="37">
        <v>2.4700000000000002</v>
      </c>
      <c r="F11" s="37">
        <v>2.4700000000000002</v>
      </c>
      <c r="G11" s="37">
        <v>2.4700000000000002</v>
      </c>
      <c r="H11" s="37">
        <v>2.4700000000000002</v>
      </c>
      <c r="I11" s="37">
        <v>2.4700000000000002</v>
      </c>
      <c r="J11" s="37">
        <v>2.4700000000000002</v>
      </c>
      <c r="K11" s="37">
        <v>2.4700000000000002</v>
      </c>
      <c r="L11" s="38">
        <v>2.4700000000000002</v>
      </c>
      <c r="N11" s="36" t="s">
        <v>1044</v>
      </c>
      <c r="O11" s="37">
        <v>2.4700000000000002</v>
      </c>
      <c r="P11" s="37">
        <v>2.4700000000000002</v>
      </c>
      <c r="Q11" s="37">
        <v>2.4700000000000002</v>
      </c>
      <c r="R11" s="37">
        <v>2.4700000000000002</v>
      </c>
      <c r="S11" s="37">
        <v>2.4700000000000002</v>
      </c>
      <c r="T11" s="37">
        <v>2.4700000000000002</v>
      </c>
      <c r="U11" s="37">
        <v>2.4700000000000002</v>
      </c>
      <c r="V11" s="37">
        <v>2.4700000000000002</v>
      </c>
      <c r="W11" s="37">
        <v>2.4700000000000002</v>
      </c>
      <c r="X11" s="38">
        <v>2.4700000000000002</v>
      </c>
      <c r="Z11" s="36" t="s">
        <v>1044</v>
      </c>
      <c r="AA11" s="37">
        <v>0.53</v>
      </c>
      <c r="AB11" s="37">
        <v>0.53</v>
      </c>
      <c r="AC11" s="37">
        <v>0.53</v>
      </c>
      <c r="AD11" s="37">
        <v>0.53</v>
      </c>
      <c r="AE11" s="37">
        <v>0.53</v>
      </c>
      <c r="AF11" s="37">
        <v>0.53</v>
      </c>
      <c r="AG11" s="37">
        <v>0.53</v>
      </c>
      <c r="AH11" s="37">
        <v>0.53</v>
      </c>
      <c r="AI11" s="37">
        <v>0.53</v>
      </c>
      <c r="AJ11" s="38">
        <v>0.53</v>
      </c>
      <c r="AL11" s="36" t="s">
        <v>1044</v>
      </c>
      <c r="AM11" s="37">
        <v>0.53</v>
      </c>
      <c r="AN11" s="37">
        <v>0.53</v>
      </c>
      <c r="AO11" s="37">
        <v>0.53</v>
      </c>
      <c r="AP11" s="37">
        <v>0.53</v>
      </c>
      <c r="AQ11" s="37">
        <v>0.53</v>
      </c>
      <c r="AR11" s="37">
        <v>0.53</v>
      </c>
      <c r="AS11" s="37">
        <v>0.53</v>
      </c>
      <c r="AT11" s="37">
        <v>0.53</v>
      </c>
      <c r="AU11" s="37">
        <v>0.53</v>
      </c>
      <c r="AV11" s="38">
        <v>0.53</v>
      </c>
    </row>
    <row r="12" spans="1:48" x14ac:dyDescent="0.25">
      <c r="A12" s="23" t="s">
        <v>1053</v>
      </c>
      <c r="B12" s="36" t="s">
        <v>1041</v>
      </c>
      <c r="C12" s="39">
        <v>10</v>
      </c>
      <c r="D12" s="39">
        <v>10</v>
      </c>
      <c r="E12" s="39">
        <v>10</v>
      </c>
      <c r="F12" s="39">
        <v>10</v>
      </c>
      <c r="G12" s="39">
        <v>10</v>
      </c>
      <c r="H12" s="39">
        <v>10</v>
      </c>
      <c r="I12" s="39">
        <v>10</v>
      </c>
      <c r="J12" s="39">
        <v>10</v>
      </c>
      <c r="K12" s="39">
        <v>10</v>
      </c>
      <c r="L12" s="40">
        <v>10</v>
      </c>
      <c r="N12" s="36" t="s">
        <v>1041</v>
      </c>
      <c r="O12" s="39">
        <v>10</v>
      </c>
      <c r="P12" s="39">
        <v>10</v>
      </c>
      <c r="Q12" s="39">
        <v>10</v>
      </c>
      <c r="R12" s="39">
        <v>10</v>
      </c>
      <c r="S12" s="39">
        <v>10</v>
      </c>
      <c r="T12" s="39">
        <v>10</v>
      </c>
      <c r="U12" s="39">
        <v>10</v>
      </c>
      <c r="V12" s="39">
        <v>10</v>
      </c>
      <c r="W12" s="39">
        <v>10</v>
      </c>
      <c r="X12" s="40">
        <v>10</v>
      </c>
      <c r="Z12" s="36" t="s">
        <v>1041</v>
      </c>
      <c r="AA12" s="39">
        <v>10</v>
      </c>
      <c r="AB12" s="39">
        <v>10</v>
      </c>
      <c r="AC12" s="39">
        <v>10</v>
      </c>
      <c r="AD12" s="39">
        <v>10</v>
      </c>
      <c r="AE12" s="39">
        <v>10</v>
      </c>
      <c r="AF12" s="39">
        <v>10</v>
      </c>
      <c r="AG12" s="39">
        <v>10</v>
      </c>
      <c r="AH12" s="39">
        <v>10</v>
      </c>
      <c r="AI12" s="39">
        <v>10</v>
      </c>
      <c r="AJ12" s="40">
        <v>10</v>
      </c>
      <c r="AL12" s="36" t="s">
        <v>1041</v>
      </c>
      <c r="AM12" s="39">
        <v>10</v>
      </c>
      <c r="AN12" s="39">
        <v>10</v>
      </c>
      <c r="AO12" s="39">
        <v>10</v>
      </c>
      <c r="AP12" s="39">
        <v>10</v>
      </c>
      <c r="AQ12" s="39">
        <v>10</v>
      </c>
      <c r="AR12" s="39">
        <v>10</v>
      </c>
      <c r="AS12" s="39">
        <v>10</v>
      </c>
      <c r="AT12" s="39">
        <v>10</v>
      </c>
      <c r="AU12" s="39">
        <v>10</v>
      </c>
      <c r="AV12" s="40">
        <v>10</v>
      </c>
    </row>
    <row r="13" spans="1:48" ht="15.75" thickBot="1" x14ac:dyDescent="0.3">
      <c r="A13" s="23" t="s">
        <v>1053</v>
      </c>
      <c r="B13" s="41" t="s">
        <v>1045</v>
      </c>
      <c r="C13" s="42">
        <v>25</v>
      </c>
      <c r="D13" s="42">
        <v>25</v>
      </c>
      <c r="E13" s="42">
        <v>25</v>
      </c>
      <c r="F13" s="42">
        <v>25</v>
      </c>
      <c r="G13" s="42">
        <v>25</v>
      </c>
      <c r="H13" s="42">
        <v>25</v>
      </c>
      <c r="I13" s="42">
        <v>25</v>
      </c>
      <c r="J13" s="42">
        <v>25</v>
      </c>
      <c r="K13" s="42">
        <v>25</v>
      </c>
      <c r="L13" s="43">
        <v>25</v>
      </c>
      <c r="N13" s="41" t="s">
        <v>1045</v>
      </c>
      <c r="O13" s="42">
        <v>25</v>
      </c>
      <c r="P13" s="42">
        <v>25</v>
      </c>
      <c r="Q13" s="42">
        <v>25</v>
      </c>
      <c r="R13" s="42">
        <v>25</v>
      </c>
      <c r="S13" s="42">
        <v>25</v>
      </c>
      <c r="T13" s="42">
        <v>25</v>
      </c>
      <c r="U13" s="42">
        <v>25</v>
      </c>
      <c r="V13" s="42">
        <v>25</v>
      </c>
      <c r="W13" s="42">
        <v>25</v>
      </c>
      <c r="X13" s="43">
        <v>25</v>
      </c>
      <c r="Z13" s="41" t="s">
        <v>1045</v>
      </c>
      <c r="AA13" s="42">
        <v>25</v>
      </c>
      <c r="AB13" s="42">
        <v>25</v>
      </c>
      <c r="AC13" s="42">
        <v>25</v>
      </c>
      <c r="AD13" s="42">
        <v>25</v>
      </c>
      <c r="AE13" s="42">
        <v>25</v>
      </c>
      <c r="AF13" s="42">
        <v>25</v>
      </c>
      <c r="AG13" s="42">
        <v>25</v>
      </c>
      <c r="AH13" s="42">
        <v>25</v>
      </c>
      <c r="AI13" s="42">
        <v>25</v>
      </c>
      <c r="AJ13" s="43">
        <v>25</v>
      </c>
      <c r="AL13" s="41" t="s">
        <v>1045</v>
      </c>
      <c r="AM13" s="42">
        <v>25</v>
      </c>
      <c r="AN13" s="42">
        <v>25</v>
      </c>
      <c r="AO13" s="42">
        <v>25</v>
      </c>
      <c r="AP13" s="42">
        <v>25</v>
      </c>
      <c r="AQ13" s="42">
        <v>25</v>
      </c>
      <c r="AR13" s="42">
        <v>25</v>
      </c>
      <c r="AS13" s="42">
        <v>25</v>
      </c>
      <c r="AT13" s="42">
        <v>25</v>
      </c>
      <c r="AU13" s="42">
        <v>25</v>
      </c>
      <c r="AV13" s="43">
        <v>25</v>
      </c>
    </row>
    <row r="14" spans="1:48" ht="15.75" thickTop="1" x14ac:dyDescent="0.25">
      <c r="B14" s="32">
        <v>1959</v>
      </c>
      <c r="C14" s="33" t="s">
        <v>8</v>
      </c>
      <c r="D14" s="34" t="s">
        <v>9</v>
      </c>
      <c r="E14" s="34" t="s">
        <v>12</v>
      </c>
      <c r="F14" s="34" t="s">
        <v>13</v>
      </c>
      <c r="G14" s="34" t="s">
        <v>16</v>
      </c>
      <c r="H14" s="34" t="s">
        <v>17</v>
      </c>
      <c r="I14" s="34" t="s">
        <v>18</v>
      </c>
      <c r="J14" s="34" t="s">
        <v>20</v>
      </c>
      <c r="K14" s="34" t="s">
        <v>21</v>
      </c>
      <c r="L14" s="35" t="s">
        <v>23</v>
      </c>
      <c r="N14" s="32">
        <v>1959</v>
      </c>
      <c r="O14" s="33" t="s">
        <v>8</v>
      </c>
      <c r="P14" s="34" t="s">
        <v>9</v>
      </c>
      <c r="Q14" s="34" t="s">
        <v>12</v>
      </c>
      <c r="R14" s="34" t="s">
        <v>13</v>
      </c>
      <c r="S14" s="34" t="s">
        <v>16</v>
      </c>
      <c r="T14" s="34" t="s">
        <v>17</v>
      </c>
      <c r="U14" s="34" t="s">
        <v>18</v>
      </c>
      <c r="V14" s="34" t="s">
        <v>20</v>
      </c>
      <c r="W14" s="34" t="s">
        <v>21</v>
      </c>
      <c r="X14" s="35" t="s">
        <v>23</v>
      </c>
      <c r="Z14" s="32">
        <v>1959</v>
      </c>
      <c r="AA14" s="33" t="s">
        <v>8</v>
      </c>
      <c r="AB14" s="34" t="s">
        <v>9</v>
      </c>
      <c r="AC14" s="34" t="s">
        <v>12</v>
      </c>
      <c r="AD14" s="34" t="s">
        <v>13</v>
      </c>
      <c r="AE14" s="34" t="s">
        <v>16</v>
      </c>
      <c r="AF14" s="34" t="s">
        <v>17</v>
      </c>
      <c r="AG14" s="34" t="s">
        <v>18</v>
      </c>
      <c r="AH14" s="34" t="s">
        <v>20</v>
      </c>
      <c r="AI14" s="34" t="s">
        <v>21</v>
      </c>
      <c r="AJ14" s="35" t="s">
        <v>23</v>
      </c>
      <c r="AL14" s="32">
        <v>1959</v>
      </c>
      <c r="AM14" s="33" t="s">
        <v>8</v>
      </c>
      <c r="AN14" s="34" t="s">
        <v>9</v>
      </c>
      <c r="AO14" s="34" t="s">
        <v>12</v>
      </c>
      <c r="AP14" s="34" t="s">
        <v>13</v>
      </c>
      <c r="AQ14" s="34" t="s">
        <v>16</v>
      </c>
      <c r="AR14" s="34" t="s">
        <v>17</v>
      </c>
      <c r="AS14" s="34" t="s">
        <v>18</v>
      </c>
      <c r="AT14" s="34" t="s">
        <v>20</v>
      </c>
      <c r="AU14" s="34" t="s">
        <v>21</v>
      </c>
      <c r="AV14" s="35" t="s">
        <v>23</v>
      </c>
    </row>
    <row r="15" spans="1:48" x14ac:dyDescent="0.25">
      <c r="A15" s="22" t="s">
        <v>1054</v>
      </c>
      <c r="B15" s="36" t="s">
        <v>1042</v>
      </c>
      <c r="C15" s="37">
        <v>0.5</v>
      </c>
      <c r="D15" s="37">
        <v>0.5</v>
      </c>
      <c r="E15" s="37">
        <v>0.5</v>
      </c>
      <c r="F15" s="37">
        <v>0.5</v>
      </c>
      <c r="G15" s="37">
        <v>0.5</v>
      </c>
      <c r="H15" s="37">
        <v>0.5</v>
      </c>
      <c r="I15" s="37">
        <v>0.5</v>
      </c>
      <c r="J15" s="37">
        <v>0.5</v>
      </c>
      <c r="K15" s="37">
        <v>0.5</v>
      </c>
      <c r="L15" s="38">
        <v>0.5</v>
      </c>
      <c r="N15" s="36" t="s">
        <v>1042</v>
      </c>
      <c r="O15" s="37">
        <v>1.68</v>
      </c>
      <c r="P15" s="37">
        <v>1.68</v>
      </c>
      <c r="Q15" s="37">
        <v>1.68</v>
      </c>
      <c r="R15" s="37">
        <v>1.68</v>
      </c>
      <c r="S15" s="37">
        <v>1.68</v>
      </c>
      <c r="T15" s="37">
        <v>1.68</v>
      </c>
      <c r="U15" s="37">
        <v>1.68</v>
      </c>
      <c r="V15" s="37">
        <v>1.68</v>
      </c>
      <c r="W15" s="37">
        <v>1.68</v>
      </c>
      <c r="X15" s="38">
        <v>1.68</v>
      </c>
      <c r="Z15" s="36" t="s">
        <v>1042</v>
      </c>
      <c r="AA15" s="37">
        <v>1.37</v>
      </c>
      <c r="AB15" s="37">
        <v>1.37</v>
      </c>
      <c r="AC15" s="37">
        <v>1.37</v>
      </c>
      <c r="AD15" s="37">
        <v>1.37</v>
      </c>
      <c r="AE15" s="37">
        <v>1.37</v>
      </c>
      <c r="AF15" s="37">
        <v>1.37</v>
      </c>
      <c r="AG15" s="37">
        <v>1.37</v>
      </c>
      <c r="AH15" s="37">
        <v>1.37</v>
      </c>
      <c r="AI15" s="37">
        <v>1.37</v>
      </c>
      <c r="AJ15" s="38">
        <v>1.37</v>
      </c>
      <c r="AL15" s="36" t="s">
        <v>1042</v>
      </c>
      <c r="AM15" s="37">
        <v>1.37</v>
      </c>
      <c r="AN15" s="37">
        <v>1.37</v>
      </c>
      <c r="AO15" s="37">
        <v>1.37</v>
      </c>
      <c r="AP15" s="37">
        <v>1.37</v>
      </c>
      <c r="AQ15" s="37">
        <v>1.37</v>
      </c>
      <c r="AR15" s="37">
        <v>1.37</v>
      </c>
      <c r="AS15" s="37">
        <v>1.37</v>
      </c>
      <c r="AT15" s="37">
        <v>1.37</v>
      </c>
      <c r="AU15" s="37">
        <v>1.37</v>
      </c>
      <c r="AV15" s="38">
        <v>1.37</v>
      </c>
    </row>
    <row r="16" spans="1:48" x14ac:dyDescent="0.25">
      <c r="A16" s="23" t="s">
        <v>1054</v>
      </c>
      <c r="B16" s="36" t="s">
        <v>1043</v>
      </c>
      <c r="C16" s="39">
        <v>0.47</v>
      </c>
      <c r="D16" s="39">
        <v>0.47</v>
      </c>
      <c r="E16" s="39">
        <v>0.47</v>
      </c>
      <c r="F16" s="39">
        <v>0.47</v>
      </c>
      <c r="G16" s="39">
        <v>0.47</v>
      </c>
      <c r="H16" s="39">
        <v>0.47</v>
      </c>
      <c r="I16" s="39">
        <v>0.47</v>
      </c>
      <c r="J16" s="39">
        <v>0.47</v>
      </c>
      <c r="K16" s="39">
        <v>0.47</v>
      </c>
      <c r="L16" s="40">
        <v>0.47</v>
      </c>
      <c r="N16" s="36" t="s">
        <v>1043</v>
      </c>
      <c r="O16" s="39">
        <v>3.31</v>
      </c>
      <c r="P16" s="39">
        <v>3.31</v>
      </c>
      <c r="Q16" s="39">
        <v>3.31</v>
      </c>
      <c r="R16" s="39">
        <v>3.31</v>
      </c>
      <c r="S16" s="39">
        <v>3.31</v>
      </c>
      <c r="T16" s="39">
        <v>3.31</v>
      </c>
      <c r="U16" s="39">
        <v>3.31</v>
      </c>
      <c r="V16" s="39">
        <v>3.31</v>
      </c>
      <c r="W16" s="39">
        <v>3.31</v>
      </c>
      <c r="X16" s="40">
        <v>3.31</v>
      </c>
      <c r="Z16" s="36" t="s">
        <v>1043</v>
      </c>
      <c r="AA16" s="39">
        <v>0.7</v>
      </c>
      <c r="AB16" s="39">
        <v>0.7</v>
      </c>
      <c r="AC16" s="39">
        <v>0.7</v>
      </c>
      <c r="AD16" s="39">
        <v>0.7</v>
      </c>
      <c r="AE16" s="39">
        <v>0.7</v>
      </c>
      <c r="AF16" s="39">
        <v>0.7</v>
      </c>
      <c r="AG16" s="39">
        <v>0.7</v>
      </c>
      <c r="AH16" s="39">
        <v>0.7</v>
      </c>
      <c r="AI16" s="39">
        <v>0.7</v>
      </c>
      <c r="AJ16" s="40">
        <v>0.7</v>
      </c>
      <c r="AL16" s="36" t="s">
        <v>1043</v>
      </c>
      <c r="AM16" s="39">
        <v>0.7</v>
      </c>
      <c r="AN16" s="39">
        <v>0.7</v>
      </c>
      <c r="AO16" s="39">
        <v>0.7</v>
      </c>
      <c r="AP16" s="39">
        <v>0.7</v>
      </c>
      <c r="AQ16" s="39">
        <v>0.7</v>
      </c>
      <c r="AR16" s="39">
        <v>0.7</v>
      </c>
      <c r="AS16" s="39">
        <v>0.7</v>
      </c>
      <c r="AT16" s="39">
        <v>0.7</v>
      </c>
      <c r="AU16" s="39">
        <v>0.7</v>
      </c>
      <c r="AV16" s="40">
        <v>0.7</v>
      </c>
    </row>
    <row r="17" spans="1:48" x14ac:dyDescent="0.25">
      <c r="A17" s="23" t="s">
        <v>1054</v>
      </c>
      <c r="B17" s="36" t="s">
        <v>1044</v>
      </c>
      <c r="C17" s="37">
        <v>0.53</v>
      </c>
      <c r="D17" s="37">
        <v>0.53</v>
      </c>
      <c r="E17" s="37">
        <v>0.53</v>
      </c>
      <c r="F17" s="37">
        <v>0.53</v>
      </c>
      <c r="G17" s="37">
        <v>0.53</v>
      </c>
      <c r="H17" s="37">
        <v>0.53</v>
      </c>
      <c r="I17" s="37">
        <v>0.53</v>
      </c>
      <c r="J17" s="37">
        <v>0.53</v>
      </c>
      <c r="K17" s="37">
        <v>0.53</v>
      </c>
      <c r="L17" s="38">
        <v>0.53</v>
      </c>
      <c r="N17" s="36" t="s">
        <v>1044</v>
      </c>
      <c r="O17" s="37">
        <v>2.4700000000000002</v>
      </c>
      <c r="P17" s="37">
        <v>2.4700000000000002</v>
      </c>
      <c r="Q17" s="37">
        <v>2.4700000000000002</v>
      </c>
      <c r="R17" s="37">
        <v>2.4700000000000002</v>
      </c>
      <c r="S17" s="37">
        <v>2.4700000000000002</v>
      </c>
      <c r="T17" s="37">
        <v>2.4700000000000002</v>
      </c>
      <c r="U17" s="37">
        <v>2.4700000000000002</v>
      </c>
      <c r="V17" s="37">
        <v>2.4700000000000002</v>
      </c>
      <c r="W17" s="37">
        <v>2.4700000000000002</v>
      </c>
      <c r="X17" s="38">
        <v>2.4700000000000002</v>
      </c>
      <c r="Z17" s="36" t="s">
        <v>1044</v>
      </c>
      <c r="AA17" s="37">
        <v>0.53</v>
      </c>
      <c r="AB17" s="37">
        <v>0.53</v>
      </c>
      <c r="AC17" s="37">
        <v>0.53</v>
      </c>
      <c r="AD17" s="37">
        <v>0.53</v>
      </c>
      <c r="AE17" s="37">
        <v>0.53</v>
      </c>
      <c r="AF17" s="37">
        <v>0.53</v>
      </c>
      <c r="AG17" s="37">
        <v>0.53</v>
      </c>
      <c r="AH17" s="37">
        <v>0.53</v>
      </c>
      <c r="AI17" s="37">
        <v>0.53</v>
      </c>
      <c r="AJ17" s="38">
        <v>0.53</v>
      </c>
      <c r="AL17" s="36" t="s">
        <v>1044</v>
      </c>
      <c r="AM17" s="37">
        <v>0.53</v>
      </c>
      <c r="AN17" s="37">
        <v>0.53</v>
      </c>
      <c r="AO17" s="37">
        <v>0.53</v>
      </c>
      <c r="AP17" s="37">
        <v>0.53</v>
      </c>
      <c r="AQ17" s="37">
        <v>0.53</v>
      </c>
      <c r="AR17" s="37">
        <v>0.53</v>
      </c>
      <c r="AS17" s="37">
        <v>0.53</v>
      </c>
      <c r="AT17" s="37">
        <v>0.53</v>
      </c>
      <c r="AU17" s="37">
        <v>0.53</v>
      </c>
      <c r="AV17" s="38">
        <v>0.53</v>
      </c>
    </row>
    <row r="18" spans="1:48" x14ac:dyDescent="0.25">
      <c r="A18" s="23" t="s">
        <v>1054</v>
      </c>
      <c r="B18" s="36" t="s">
        <v>1041</v>
      </c>
      <c r="C18" s="39">
        <v>10</v>
      </c>
      <c r="D18" s="39">
        <v>10</v>
      </c>
      <c r="E18" s="39">
        <v>10</v>
      </c>
      <c r="F18" s="39">
        <v>10</v>
      </c>
      <c r="G18" s="39">
        <v>10</v>
      </c>
      <c r="H18" s="39">
        <v>10</v>
      </c>
      <c r="I18" s="39">
        <v>10</v>
      </c>
      <c r="J18" s="39">
        <v>10</v>
      </c>
      <c r="K18" s="39">
        <v>10</v>
      </c>
      <c r="L18" s="40">
        <v>10</v>
      </c>
      <c r="N18" s="36" t="s">
        <v>1041</v>
      </c>
      <c r="O18" s="39">
        <v>10</v>
      </c>
      <c r="P18" s="39">
        <v>10</v>
      </c>
      <c r="Q18" s="39">
        <v>10</v>
      </c>
      <c r="R18" s="39">
        <v>10</v>
      </c>
      <c r="S18" s="39">
        <v>10</v>
      </c>
      <c r="T18" s="39">
        <v>10</v>
      </c>
      <c r="U18" s="39">
        <v>10</v>
      </c>
      <c r="V18" s="39">
        <v>10</v>
      </c>
      <c r="W18" s="39">
        <v>10</v>
      </c>
      <c r="X18" s="40">
        <v>10</v>
      </c>
      <c r="Z18" s="36" t="s">
        <v>1041</v>
      </c>
      <c r="AA18" s="39">
        <v>10</v>
      </c>
      <c r="AB18" s="39">
        <v>10</v>
      </c>
      <c r="AC18" s="39">
        <v>10</v>
      </c>
      <c r="AD18" s="39">
        <v>10</v>
      </c>
      <c r="AE18" s="39">
        <v>10</v>
      </c>
      <c r="AF18" s="39">
        <v>10</v>
      </c>
      <c r="AG18" s="39">
        <v>10</v>
      </c>
      <c r="AH18" s="39">
        <v>10</v>
      </c>
      <c r="AI18" s="39">
        <v>10</v>
      </c>
      <c r="AJ18" s="40">
        <v>10</v>
      </c>
      <c r="AL18" s="36" t="s">
        <v>1041</v>
      </c>
      <c r="AM18" s="39">
        <v>10</v>
      </c>
      <c r="AN18" s="39">
        <v>10</v>
      </c>
      <c r="AO18" s="39">
        <v>10</v>
      </c>
      <c r="AP18" s="39">
        <v>10</v>
      </c>
      <c r="AQ18" s="39">
        <v>10</v>
      </c>
      <c r="AR18" s="39">
        <v>10</v>
      </c>
      <c r="AS18" s="39">
        <v>10</v>
      </c>
      <c r="AT18" s="39">
        <v>10</v>
      </c>
      <c r="AU18" s="39">
        <v>10</v>
      </c>
      <c r="AV18" s="40">
        <v>10</v>
      </c>
    </row>
    <row r="19" spans="1:48" ht="15.75" thickBot="1" x14ac:dyDescent="0.3">
      <c r="A19" s="23" t="s">
        <v>1054</v>
      </c>
      <c r="B19" s="41" t="s">
        <v>1045</v>
      </c>
      <c r="C19" s="42">
        <v>25</v>
      </c>
      <c r="D19" s="42">
        <v>25</v>
      </c>
      <c r="E19" s="42">
        <v>25</v>
      </c>
      <c r="F19" s="42">
        <v>25</v>
      </c>
      <c r="G19" s="42">
        <v>25</v>
      </c>
      <c r="H19" s="42">
        <v>25</v>
      </c>
      <c r="I19" s="42">
        <v>25</v>
      </c>
      <c r="J19" s="42">
        <v>25</v>
      </c>
      <c r="K19" s="42">
        <v>25</v>
      </c>
      <c r="L19" s="43">
        <v>25</v>
      </c>
      <c r="N19" s="41" t="s">
        <v>1045</v>
      </c>
      <c r="O19" s="42">
        <v>25</v>
      </c>
      <c r="P19" s="42">
        <v>25</v>
      </c>
      <c r="Q19" s="42">
        <v>25</v>
      </c>
      <c r="R19" s="42">
        <v>25</v>
      </c>
      <c r="S19" s="42">
        <v>25</v>
      </c>
      <c r="T19" s="42">
        <v>25</v>
      </c>
      <c r="U19" s="42">
        <v>25</v>
      </c>
      <c r="V19" s="42">
        <v>25</v>
      </c>
      <c r="W19" s="42">
        <v>25</v>
      </c>
      <c r="X19" s="43">
        <v>25</v>
      </c>
      <c r="Z19" s="41" t="s">
        <v>1045</v>
      </c>
      <c r="AA19" s="42">
        <v>25</v>
      </c>
      <c r="AB19" s="42">
        <v>25</v>
      </c>
      <c r="AC19" s="42">
        <v>25</v>
      </c>
      <c r="AD19" s="42">
        <v>25</v>
      </c>
      <c r="AE19" s="42">
        <v>25</v>
      </c>
      <c r="AF19" s="42">
        <v>25</v>
      </c>
      <c r="AG19" s="42">
        <v>25</v>
      </c>
      <c r="AH19" s="42">
        <v>25</v>
      </c>
      <c r="AI19" s="42">
        <v>25</v>
      </c>
      <c r="AJ19" s="43">
        <v>25</v>
      </c>
      <c r="AL19" s="41" t="s">
        <v>1045</v>
      </c>
      <c r="AM19" s="42">
        <v>25</v>
      </c>
      <c r="AN19" s="42">
        <v>25</v>
      </c>
      <c r="AO19" s="42">
        <v>25</v>
      </c>
      <c r="AP19" s="42">
        <v>25</v>
      </c>
      <c r="AQ19" s="42">
        <v>25</v>
      </c>
      <c r="AR19" s="42">
        <v>25</v>
      </c>
      <c r="AS19" s="42">
        <v>25</v>
      </c>
      <c r="AT19" s="42">
        <v>25</v>
      </c>
      <c r="AU19" s="42">
        <v>25</v>
      </c>
      <c r="AV19" s="43">
        <v>25</v>
      </c>
    </row>
    <row r="20" spans="1:48" ht="15.75" thickTop="1" x14ac:dyDescent="0.25">
      <c r="B20" s="32">
        <v>1979</v>
      </c>
      <c r="C20" s="33" t="s">
        <v>8</v>
      </c>
      <c r="D20" s="34" t="s">
        <v>9</v>
      </c>
      <c r="E20" s="34" t="s">
        <v>12</v>
      </c>
      <c r="F20" s="34" t="s">
        <v>13</v>
      </c>
      <c r="G20" s="34" t="s">
        <v>16</v>
      </c>
      <c r="H20" s="34" t="s">
        <v>17</v>
      </c>
      <c r="I20" s="34" t="s">
        <v>18</v>
      </c>
      <c r="J20" s="34" t="s">
        <v>20</v>
      </c>
      <c r="K20" s="34" t="s">
        <v>21</v>
      </c>
      <c r="L20" s="35" t="s">
        <v>23</v>
      </c>
      <c r="N20" s="32">
        <v>1979</v>
      </c>
      <c r="O20" s="33" t="s">
        <v>8</v>
      </c>
      <c r="P20" s="34" t="s">
        <v>9</v>
      </c>
      <c r="Q20" s="34" t="s">
        <v>12</v>
      </c>
      <c r="R20" s="34" t="s">
        <v>13</v>
      </c>
      <c r="S20" s="34" t="s">
        <v>16</v>
      </c>
      <c r="T20" s="34" t="s">
        <v>17</v>
      </c>
      <c r="U20" s="34" t="s">
        <v>18</v>
      </c>
      <c r="V20" s="34" t="s">
        <v>20</v>
      </c>
      <c r="W20" s="34" t="s">
        <v>21</v>
      </c>
      <c r="X20" s="35" t="s">
        <v>23</v>
      </c>
      <c r="Z20" s="32">
        <v>1979</v>
      </c>
      <c r="AA20" s="33" t="s">
        <v>8</v>
      </c>
      <c r="AB20" s="34" t="s">
        <v>9</v>
      </c>
      <c r="AC20" s="34" t="s">
        <v>12</v>
      </c>
      <c r="AD20" s="34" t="s">
        <v>13</v>
      </c>
      <c r="AE20" s="34" t="s">
        <v>16</v>
      </c>
      <c r="AF20" s="34" t="s">
        <v>17</v>
      </c>
      <c r="AG20" s="34" t="s">
        <v>18</v>
      </c>
      <c r="AH20" s="34" t="s">
        <v>20</v>
      </c>
      <c r="AI20" s="34" t="s">
        <v>21</v>
      </c>
      <c r="AJ20" s="35" t="s">
        <v>23</v>
      </c>
      <c r="AL20" s="32">
        <v>1979</v>
      </c>
      <c r="AM20" s="33" t="s">
        <v>8</v>
      </c>
      <c r="AN20" s="34" t="s">
        <v>9</v>
      </c>
      <c r="AO20" s="34" t="s">
        <v>12</v>
      </c>
      <c r="AP20" s="34" t="s">
        <v>13</v>
      </c>
      <c r="AQ20" s="34" t="s">
        <v>16</v>
      </c>
      <c r="AR20" s="34" t="s">
        <v>17</v>
      </c>
      <c r="AS20" s="34" t="s">
        <v>18</v>
      </c>
      <c r="AT20" s="34" t="s">
        <v>20</v>
      </c>
      <c r="AU20" s="34" t="s">
        <v>21</v>
      </c>
      <c r="AV20" s="35" t="s">
        <v>23</v>
      </c>
    </row>
    <row r="21" spans="1:48" x14ac:dyDescent="0.25">
      <c r="A21" s="22" t="s">
        <v>1055</v>
      </c>
      <c r="B21" s="36" t="s">
        <v>1042</v>
      </c>
      <c r="C21" s="37">
        <v>0.5</v>
      </c>
      <c r="D21" s="37">
        <v>0.5</v>
      </c>
      <c r="E21" s="37">
        <v>0.5</v>
      </c>
      <c r="F21" s="37">
        <v>0.5</v>
      </c>
      <c r="G21" s="37">
        <v>0.5</v>
      </c>
      <c r="H21" s="37">
        <v>0.5</v>
      </c>
      <c r="I21" s="37">
        <v>0.5</v>
      </c>
      <c r="J21" s="37">
        <v>0.5</v>
      </c>
      <c r="K21" s="37">
        <v>0.5</v>
      </c>
      <c r="L21" s="38">
        <v>0.5</v>
      </c>
      <c r="N21" s="36" t="s">
        <v>1042</v>
      </c>
      <c r="O21" s="37">
        <v>1.72</v>
      </c>
      <c r="P21" s="37">
        <v>1.72</v>
      </c>
      <c r="Q21" s="37">
        <v>1.72</v>
      </c>
      <c r="R21" s="37">
        <v>1.72</v>
      </c>
      <c r="S21" s="37">
        <v>1.72</v>
      </c>
      <c r="T21" s="37">
        <v>1.72</v>
      </c>
      <c r="U21" s="37">
        <v>1.72</v>
      </c>
      <c r="V21" s="37">
        <v>1.72</v>
      </c>
      <c r="W21" s="37">
        <v>1.72</v>
      </c>
      <c r="X21" s="38">
        <v>1.72</v>
      </c>
      <c r="Z21" s="36" t="s">
        <v>1042</v>
      </c>
      <c r="AA21" s="37">
        <v>1.4</v>
      </c>
      <c r="AB21" s="37">
        <v>1.4</v>
      </c>
      <c r="AC21" s="37">
        <v>1.4</v>
      </c>
      <c r="AD21" s="37">
        <v>1.4</v>
      </c>
      <c r="AE21" s="37">
        <v>1.4</v>
      </c>
      <c r="AF21" s="37">
        <v>1.4</v>
      </c>
      <c r="AG21" s="37">
        <v>1.4</v>
      </c>
      <c r="AH21" s="37">
        <v>1.4</v>
      </c>
      <c r="AI21" s="37">
        <v>1.4</v>
      </c>
      <c r="AJ21" s="38">
        <v>1.4</v>
      </c>
      <c r="AL21" s="36" t="s">
        <v>1042</v>
      </c>
      <c r="AM21" s="37">
        <v>1.4</v>
      </c>
      <c r="AN21" s="37">
        <v>1.4</v>
      </c>
      <c r="AO21" s="37">
        <v>1.4</v>
      </c>
      <c r="AP21" s="37">
        <v>1.4</v>
      </c>
      <c r="AQ21" s="37">
        <v>1.4</v>
      </c>
      <c r="AR21" s="37">
        <v>1.4</v>
      </c>
      <c r="AS21" s="37">
        <v>1.4</v>
      </c>
      <c r="AT21" s="37">
        <v>1.4</v>
      </c>
      <c r="AU21" s="37">
        <v>1.4</v>
      </c>
      <c r="AV21" s="38">
        <v>1.4</v>
      </c>
    </row>
    <row r="22" spans="1:48" x14ac:dyDescent="0.25">
      <c r="A22" s="23" t="s">
        <v>1055</v>
      </c>
      <c r="B22" s="36" t="s">
        <v>1043</v>
      </c>
      <c r="C22" s="39">
        <v>0.47</v>
      </c>
      <c r="D22" s="39">
        <v>0.47</v>
      </c>
      <c r="E22" s="39">
        <v>0.47</v>
      </c>
      <c r="F22" s="39">
        <v>0.47</v>
      </c>
      <c r="G22" s="39">
        <v>0.47</v>
      </c>
      <c r="H22" s="39">
        <v>0.47</v>
      </c>
      <c r="I22" s="39">
        <v>0.47</v>
      </c>
      <c r="J22" s="39">
        <v>0.47</v>
      </c>
      <c r="K22" s="39">
        <v>0.47</v>
      </c>
      <c r="L22" s="40">
        <v>0.47</v>
      </c>
      <c r="N22" s="36" t="s">
        <v>1043</v>
      </c>
      <c r="O22" s="39">
        <v>1.68</v>
      </c>
      <c r="P22" s="39">
        <v>1.68</v>
      </c>
      <c r="Q22" s="39">
        <v>1.68</v>
      </c>
      <c r="R22" s="39">
        <v>1.68</v>
      </c>
      <c r="S22" s="39">
        <v>1.68</v>
      </c>
      <c r="T22" s="39">
        <v>1.68</v>
      </c>
      <c r="U22" s="39">
        <v>1.68</v>
      </c>
      <c r="V22" s="39">
        <v>1.68</v>
      </c>
      <c r="W22" s="39">
        <v>1.68</v>
      </c>
      <c r="X22" s="40">
        <v>1.68</v>
      </c>
      <c r="Z22" s="36" t="s">
        <v>1043</v>
      </c>
      <c r="AA22" s="39">
        <v>0.7</v>
      </c>
      <c r="AB22" s="39">
        <v>0.7</v>
      </c>
      <c r="AC22" s="39">
        <v>0.7</v>
      </c>
      <c r="AD22" s="39">
        <v>0.7</v>
      </c>
      <c r="AE22" s="39">
        <v>0.7</v>
      </c>
      <c r="AF22" s="39">
        <v>0.7</v>
      </c>
      <c r="AG22" s="39">
        <v>0.7</v>
      </c>
      <c r="AH22" s="39">
        <v>0.7</v>
      </c>
      <c r="AI22" s="39">
        <v>0.7</v>
      </c>
      <c r="AJ22" s="40">
        <v>0.7</v>
      </c>
      <c r="AL22" s="36" t="s">
        <v>1043</v>
      </c>
      <c r="AM22" s="39">
        <v>0.7</v>
      </c>
      <c r="AN22" s="39">
        <v>0.7</v>
      </c>
      <c r="AO22" s="39">
        <v>0.7</v>
      </c>
      <c r="AP22" s="39">
        <v>0.7</v>
      </c>
      <c r="AQ22" s="39">
        <v>0.7</v>
      </c>
      <c r="AR22" s="39">
        <v>0.7</v>
      </c>
      <c r="AS22" s="39">
        <v>0.7</v>
      </c>
      <c r="AT22" s="39">
        <v>0.7</v>
      </c>
      <c r="AU22" s="39">
        <v>0.7</v>
      </c>
      <c r="AV22" s="40">
        <v>0.7</v>
      </c>
    </row>
    <row r="23" spans="1:48" x14ac:dyDescent="0.25">
      <c r="A23" s="23" t="s">
        <v>1055</v>
      </c>
      <c r="B23" s="36" t="s">
        <v>1044</v>
      </c>
      <c r="C23" s="37">
        <v>0.53</v>
      </c>
      <c r="D23" s="37">
        <v>0.53</v>
      </c>
      <c r="E23" s="37">
        <v>0.53</v>
      </c>
      <c r="F23" s="37">
        <v>0.53</v>
      </c>
      <c r="G23" s="37">
        <v>0.53</v>
      </c>
      <c r="H23" s="37">
        <v>0.53</v>
      </c>
      <c r="I23" s="37">
        <v>0.53</v>
      </c>
      <c r="J23" s="37">
        <v>0.53</v>
      </c>
      <c r="K23" s="37">
        <v>0.53</v>
      </c>
      <c r="L23" s="38">
        <v>0.53</v>
      </c>
      <c r="N23" s="36" t="s">
        <v>1044</v>
      </c>
      <c r="O23" s="37">
        <v>2.4700000000000002</v>
      </c>
      <c r="P23" s="37">
        <v>2.4700000000000002</v>
      </c>
      <c r="Q23" s="37">
        <v>2.4700000000000002</v>
      </c>
      <c r="R23" s="37">
        <v>2.4700000000000002</v>
      </c>
      <c r="S23" s="37">
        <v>2.4700000000000002</v>
      </c>
      <c r="T23" s="37">
        <v>2.4700000000000002</v>
      </c>
      <c r="U23" s="37">
        <v>2.4700000000000002</v>
      </c>
      <c r="V23" s="37">
        <v>2.4700000000000002</v>
      </c>
      <c r="W23" s="37">
        <v>2.4700000000000002</v>
      </c>
      <c r="X23" s="38">
        <v>2.4700000000000002</v>
      </c>
      <c r="Z23" s="36" t="s">
        <v>1044</v>
      </c>
      <c r="AA23" s="37">
        <v>0.53</v>
      </c>
      <c r="AB23" s="37">
        <v>0.53</v>
      </c>
      <c r="AC23" s="37">
        <v>0.53</v>
      </c>
      <c r="AD23" s="37">
        <v>0.53</v>
      </c>
      <c r="AE23" s="37">
        <v>0.53</v>
      </c>
      <c r="AF23" s="37">
        <v>0.53</v>
      </c>
      <c r="AG23" s="37">
        <v>0.53</v>
      </c>
      <c r="AH23" s="37">
        <v>0.53</v>
      </c>
      <c r="AI23" s="37">
        <v>0.53</v>
      </c>
      <c r="AJ23" s="38">
        <v>0.53</v>
      </c>
      <c r="AL23" s="36" t="s">
        <v>1044</v>
      </c>
      <c r="AM23" s="37">
        <v>0.53</v>
      </c>
      <c r="AN23" s="37">
        <v>0.53</v>
      </c>
      <c r="AO23" s="37">
        <v>0.53</v>
      </c>
      <c r="AP23" s="37">
        <v>0.53</v>
      </c>
      <c r="AQ23" s="37">
        <v>0.53</v>
      </c>
      <c r="AR23" s="37">
        <v>0.53</v>
      </c>
      <c r="AS23" s="37">
        <v>0.53</v>
      </c>
      <c r="AT23" s="37">
        <v>0.53</v>
      </c>
      <c r="AU23" s="37">
        <v>0.53</v>
      </c>
      <c r="AV23" s="38">
        <v>0.53</v>
      </c>
    </row>
    <row r="24" spans="1:48" x14ac:dyDescent="0.25">
      <c r="A24" s="23" t="s">
        <v>1055</v>
      </c>
      <c r="B24" s="36" t="s">
        <v>1041</v>
      </c>
      <c r="C24" s="39">
        <v>10</v>
      </c>
      <c r="D24" s="39">
        <v>10</v>
      </c>
      <c r="E24" s="39">
        <v>10</v>
      </c>
      <c r="F24" s="39">
        <v>10</v>
      </c>
      <c r="G24" s="39">
        <v>10</v>
      </c>
      <c r="H24" s="39">
        <v>10</v>
      </c>
      <c r="I24" s="39">
        <v>10</v>
      </c>
      <c r="J24" s="39">
        <v>10</v>
      </c>
      <c r="K24" s="39">
        <v>10</v>
      </c>
      <c r="L24" s="40">
        <v>10</v>
      </c>
      <c r="N24" s="36" t="s">
        <v>1041</v>
      </c>
      <c r="O24" s="39">
        <v>10</v>
      </c>
      <c r="P24" s="39">
        <v>10</v>
      </c>
      <c r="Q24" s="39">
        <v>10</v>
      </c>
      <c r="R24" s="39">
        <v>10</v>
      </c>
      <c r="S24" s="39">
        <v>10</v>
      </c>
      <c r="T24" s="39">
        <v>10</v>
      </c>
      <c r="U24" s="39">
        <v>10</v>
      </c>
      <c r="V24" s="39">
        <v>10</v>
      </c>
      <c r="W24" s="39">
        <v>10</v>
      </c>
      <c r="X24" s="40">
        <v>10</v>
      </c>
      <c r="Z24" s="36" t="s">
        <v>1041</v>
      </c>
      <c r="AA24" s="39">
        <v>10</v>
      </c>
      <c r="AB24" s="39">
        <v>10</v>
      </c>
      <c r="AC24" s="39">
        <v>10</v>
      </c>
      <c r="AD24" s="39">
        <v>10</v>
      </c>
      <c r="AE24" s="39">
        <v>10</v>
      </c>
      <c r="AF24" s="39">
        <v>10</v>
      </c>
      <c r="AG24" s="39">
        <v>10</v>
      </c>
      <c r="AH24" s="39">
        <v>10</v>
      </c>
      <c r="AI24" s="39">
        <v>10</v>
      </c>
      <c r="AJ24" s="40">
        <v>10</v>
      </c>
      <c r="AL24" s="36" t="s">
        <v>1041</v>
      </c>
      <c r="AM24" s="39">
        <v>10</v>
      </c>
      <c r="AN24" s="39">
        <v>10</v>
      </c>
      <c r="AO24" s="39">
        <v>10</v>
      </c>
      <c r="AP24" s="39">
        <v>10</v>
      </c>
      <c r="AQ24" s="39">
        <v>10</v>
      </c>
      <c r="AR24" s="39">
        <v>10</v>
      </c>
      <c r="AS24" s="39">
        <v>10</v>
      </c>
      <c r="AT24" s="39">
        <v>10</v>
      </c>
      <c r="AU24" s="39">
        <v>10</v>
      </c>
      <c r="AV24" s="40">
        <v>10</v>
      </c>
    </row>
    <row r="25" spans="1:48" ht="15.75" thickBot="1" x14ac:dyDescent="0.3">
      <c r="A25" s="23" t="s">
        <v>1055</v>
      </c>
      <c r="B25" s="41" t="s">
        <v>1045</v>
      </c>
      <c r="C25" s="42">
        <v>25</v>
      </c>
      <c r="D25" s="42">
        <v>25</v>
      </c>
      <c r="E25" s="42">
        <v>25</v>
      </c>
      <c r="F25" s="42">
        <v>25</v>
      </c>
      <c r="G25" s="42">
        <v>25</v>
      </c>
      <c r="H25" s="42">
        <v>25</v>
      </c>
      <c r="I25" s="42">
        <v>25</v>
      </c>
      <c r="J25" s="42">
        <v>25</v>
      </c>
      <c r="K25" s="42">
        <v>25</v>
      </c>
      <c r="L25" s="43">
        <v>25</v>
      </c>
      <c r="N25" s="41" t="s">
        <v>1045</v>
      </c>
      <c r="O25" s="42">
        <v>25</v>
      </c>
      <c r="P25" s="42">
        <v>25</v>
      </c>
      <c r="Q25" s="42">
        <v>25</v>
      </c>
      <c r="R25" s="42">
        <v>25</v>
      </c>
      <c r="S25" s="42">
        <v>25</v>
      </c>
      <c r="T25" s="42">
        <v>25</v>
      </c>
      <c r="U25" s="42">
        <v>25</v>
      </c>
      <c r="V25" s="42">
        <v>25</v>
      </c>
      <c r="W25" s="42">
        <v>25</v>
      </c>
      <c r="X25" s="43">
        <v>25</v>
      </c>
      <c r="Z25" s="41" t="s">
        <v>1045</v>
      </c>
      <c r="AA25" s="42">
        <v>25</v>
      </c>
      <c r="AB25" s="42">
        <v>25</v>
      </c>
      <c r="AC25" s="42">
        <v>25</v>
      </c>
      <c r="AD25" s="42">
        <v>25</v>
      </c>
      <c r="AE25" s="42">
        <v>25</v>
      </c>
      <c r="AF25" s="42">
        <v>25</v>
      </c>
      <c r="AG25" s="42">
        <v>25</v>
      </c>
      <c r="AH25" s="42">
        <v>25</v>
      </c>
      <c r="AI25" s="42">
        <v>25</v>
      </c>
      <c r="AJ25" s="43">
        <v>25</v>
      </c>
      <c r="AL25" s="41" t="s">
        <v>1045</v>
      </c>
      <c r="AM25" s="42">
        <v>25</v>
      </c>
      <c r="AN25" s="42">
        <v>25</v>
      </c>
      <c r="AO25" s="42">
        <v>25</v>
      </c>
      <c r="AP25" s="42">
        <v>25</v>
      </c>
      <c r="AQ25" s="42">
        <v>25</v>
      </c>
      <c r="AR25" s="42">
        <v>25</v>
      </c>
      <c r="AS25" s="42">
        <v>25</v>
      </c>
      <c r="AT25" s="42">
        <v>25</v>
      </c>
      <c r="AU25" s="42">
        <v>25</v>
      </c>
      <c r="AV25" s="43">
        <v>25</v>
      </c>
    </row>
    <row r="26" spans="1:48" ht="15.75" thickTop="1" x14ac:dyDescent="0.25">
      <c r="B26" s="32">
        <v>2005</v>
      </c>
      <c r="C26" s="33" t="s">
        <v>8</v>
      </c>
      <c r="D26" s="34" t="s">
        <v>9</v>
      </c>
      <c r="E26" s="34" t="s">
        <v>12</v>
      </c>
      <c r="F26" s="34" t="s">
        <v>13</v>
      </c>
      <c r="G26" s="34" t="s">
        <v>16</v>
      </c>
      <c r="H26" s="34" t="s">
        <v>17</v>
      </c>
      <c r="I26" s="34" t="s">
        <v>18</v>
      </c>
      <c r="J26" s="34" t="s">
        <v>20</v>
      </c>
      <c r="K26" s="34" t="s">
        <v>21</v>
      </c>
      <c r="L26" s="35" t="s">
        <v>23</v>
      </c>
      <c r="N26" s="32">
        <v>2005</v>
      </c>
      <c r="O26" s="33" t="s">
        <v>8</v>
      </c>
      <c r="P26" s="34" t="s">
        <v>9</v>
      </c>
      <c r="Q26" s="34" t="s">
        <v>12</v>
      </c>
      <c r="R26" s="34" t="s">
        <v>13</v>
      </c>
      <c r="S26" s="34" t="s">
        <v>16</v>
      </c>
      <c r="T26" s="34" t="s">
        <v>17</v>
      </c>
      <c r="U26" s="34" t="s">
        <v>18</v>
      </c>
      <c r="V26" s="34" t="s">
        <v>20</v>
      </c>
      <c r="W26" s="34" t="s">
        <v>21</v>
      </c>
      <c r="X26" s="35" t="s">
        <v>23</v>
      </c>
      <c r="Z26" s="32">
        <v>2005</v>
      </c>
      <c r="AA26" s="33" t="s">
        <v>8</v>
      </c>
      <c r="AB26" s="34" t="s">
        <v>9</v>
      </c>
      <c r="AC26" s="34" t="s">
        <v>12</v>
      </c>
      <c r="AD26" s="34" t="s">
        <v>13</v>
      </c>
      <c r="AE26" s="34" t="s">
        <v>16</v>
      </c>
      <c r="AF26" s="34" t="s">
        <v>17</v>
      </c>
      <c r="AG26" s="34" t="s">
        <v>18</v>
      </c>
      <c r="AH26" s="34" t="s">
        <v>20</v>
      </c>
      <c r="AI26" s="34" t="s">
        <v>21</v>
      </c>
      <c r="AJ26" s="35" t="s">
        <v>23</v>
      </c>
      <c r="AL26" s="32">
        <v>2005</v>
      </c>
      <c r="AM26" s="33" t="s">
        <v>8</v>
      </c>
      <c r="AN26" s="34" t="s">
        <v>9</v>
      </c>
      <c r="AO26" s="34" t="s">
        <v>12</v>
      </c>
      <c r="AP26" s="34" t="s">
        <v>13</v>
      </c>
      <c r="AQ26" s="34" t="s">
        <v>16</v>
      </c>
      <c r="AR26" s="34" t="s">
        <v>17</v>
      </c>
      <c r="AS26" s="34" t="s">
        <v>18</v>
      </c>
      <c r="AT26" s="34" t="s">
        <v>20</v>
      </c>
      <c r="AU26" s="34" t="s">
        <v>21</v>
      </c>
      <c r="AV26" s="35" t="s">
        <v>23</v>
      </c>
    </row>
    <row r="27" spans="1:48" x14ac:dyDescent="0.25">
      <c r="A27" s="23" t="s">
        <v>1056</v>
      </c>
      <c r="B27" s="36" t="s">
        <v>1042</v>
      </c>
      <c r="C27" s="37">
        <v>1.8</v>
      </c>
      <c r="D27" s="37">
        <v>1.8</v>
      </c>
      <c r="E27" s="37">
        <v>1.8</v>
      </c>
      <c r="F27" s="37">
        <v>1.8</v>
      </c>
      <c r="G27" s="37">
        <v>1.8</v>
      </c>
      <c r="H27" s="37">
        <v>1.6</v>
      </c>
      <c r="I27" s="37">
        <v>1.6</v>
      </c>
      <c r="J27" s="37">
        <v>1.4</v>
      </c>
      <c r="K27" s="37">
        <v>1.4</v>
      </c>
      <c r="L27" s="38">
        <v>1.4</v>
      </c>
      <c r="N27" s="36" t="s">
        <v>1042</v>
      </c>
      <c r="O27" s="37">
        <v>1.8</v>
      </c>
      <c r="P27" s="37">
        <v>1.8</v>
      </c>
      <c r="Q27" s="37">
        <v>1.8</v>
      </c>
      <c r="R27" s="37">
        <v>1.8</v>
      </c>
      <c r="S27" s="37">
        <v>1.8</v>
      </c>
      <c r="T27" s="37">
        <v>1.6</v>
      </c>
      <c r="U27" s="37">
        <v>1.6</v>
      </c>
      <c r="V27" s="37">
        <v>1.4</v>
      </c>
      <c r="W27" s="37">
        <v>1.4</v>
      </c>
      <c r="X27" s="38">
        <v>1.4</v>
      </c>
      <c r="Z27" s="36" t="s">
        <v>1042</v>
      </c>
      <c r="AA27" s="37">
        <v>1.8</v>
      </c>
      <c r="AB27" s="37">
        <v>1.8</v>
      </c>
      <c r="AC27" s="37">
        <v>1.8</v>
      </c>
      <c r="AD27" s="37">
        <v>1.8</v>
      </c>
      <c r="AE27" s="37">
        <v>1.8</v>
      </c>
      <c r="AF27" s="37">
        <v>1.6</v>
      </c>
      <c r="AG27" s="37">
        <v>1.6</v>
      </c>
      <c r="AH27" s="37">
        <v>1.4</v>
      </c>
      <c r="AI27" s="37">
        <v>1.4</v>
      </c>
      <c r="AJ27" s="38">
        <v>1.4</v>
      </c>
      <c r="AL27" s="36" t="s">
        <v>1042</v>
      </c>
      <c r="AM27" s="37">
        <v>1.4</v>
      </c>
      <c r="AN27" s="37">
        <v>1.4</v>
      </c>
      <c r="AO27" s="37">
        <v>1.4</v>
      </c>
      <c r="AP27" s="37">
        <v>1.4</v>
      </c>
      <c r="AQ27" s="37">
        <v>1.4</v>
      </c>
      <c r="AR27" s="37">
        <v>1.4</v>
      </c>
      <c r="AS27" s="37">
        <v>1.4</v>
      </c>
      <c r="AT27" s="37">
        <v>1.4</v>
      </c>
      <c r="AU27" s="37">
        <v>1.4</v>
      </c>
      <c r="AV27" s="38">
        <v>1.4</v>
      </c>
    </row>
    <row r="28" spans="1:48" x14ac:dyDescent="0.25">
      <c r="A28" s="23" t="s">
        <v>1056</v>
      </c>
      <c r="B28" s="36" t="s">
        <v>1043</v>
      </c>
      <c r="C28" s="39">
        <v>1.4</v>
      </c>
      <c r="D28" s="39">
        <v>1.4</v>
      </c>
      <c r="E28" s="39">
        <v>1.4</v>
      </c>
      <c r="F28" s="39">
        <v>1.4</v>
      </c>
      <c r="G28" s="39">
        <v>1.4</v>
      </c>
      <c r="H28" s="39">
        <v>1.2</v>
      </c>
      <c r="I28" s="39">
        <v>1.2</v>
      </c>
      <c r="J28" s="39">
        <v>0.9</v>
      </c>
      <c r="K28" s="39">
        <v>0.9</v>
      </c>
      <c r="L28" s="40">
        <v>0.7</v>
      </c>
      <c r="N28" s="36" t="s">
        <v>1043</v>
      </c>
      <c r="O28" s="39">
        <v>1.4</v>
      </c>
      <c r="P28" s="39">
        <v>1.4</v>
      </c>
      <c r="Q28" s="39">
        <v>1.4</v>
      </c>
      <c r="R28" s="39">
        <v>1.4</v>
      </c>
      <c r="S28" s="39">
        <v>1.4</v>
      </c>
      <c r="T28" s="39">
        <v>1.2</v>
      </c>
      <c r="U28" s="39">
        <v>1.2</v>
      </c>
      <c r="V28" s="39">
        <v>0.9</v>
      </c>
      <c r="W28" s="39">
        <v>0.9</v>
      </c>
      <c r="X28" s="40">
        <v>0.7</v>
      </c>
      <c r="Z28" s="36" t="s">
        <v>1043</v>
      </c>
      <c r="AA28" s="39">
        <v>1.4</v>
      </c>
      <c r="AB28" s="39">
        <v>1.4</v>
      </c>
      <c r="AC28" s="39">
        <v>1.4</v>
      </c>
      <c r="AD28" s="39">
        <v>1.4</v>
      </c>
      <c r="AE28" s="39">
        <v>1.4</v>
      </c>
      <c r="AF28" s="39">
        <v>1.2</v>
      </c>
      <c r="AG28" s="39">
        <v>1.2</v>
      </c>
      <c r="AH28" s="39">
        <v>0.9</v>
      </c>
      <c r="AI28" s="39">
        <v>0.9</v>
      </c>
      <c r="AJ28" s="40">
        <v>0.7</v>
      </c>
      <c r="AL28" s="36" t="s">
        <v>1043</v>
      </c>
      <c r="AM28" s="39">
        <v>0.7</v>
      </c>
      <c r="AN28" s="39">
        <v>0.7</v>
      </c>
      <c r="AO28" s="39">
        <v>0.7</v>
      </c>
      <c r="AP28" s="39">
        <v>0.7</v>
      </c>
      <c r="AQ28" s="39">
        <v>0.7</v>
      </c>
      <c r="AR28" s="39">
        <v>0.7</v>
      </c>
      <c r="AS28" s="39">
        <v>0.7</v>
      </c>
      <c r="AT28" s="39">
        <v>0.7</v>
      </c>
      <c r="AU28" s="39">
        <v>0.7</v>
      </c>
      <c r="AV28" s="40">
        <v>0.7</v>
      </c>
    </row>
    <row r="29" spans="1:48" x14ac:dyDescent="0.25">
      <c r="A29" s="23" t="s">
        <v>1056</v>
      </c>
      <c r="B29" s="36" t="s">
        <v>1044</v>
      </c>
      <c r="C29" s="37">
        <v>0.53</v>
      </c>
      <c r="D29" s="37">
        <v>0.53</v>
      </c>
      <c r="E29" s="37">
        <v>0.53</v>
      </c>
      <c r="F29" s="37">
        <v>0.53</v>
      </c>
      <c r="G29" s="37">
        <v>0.53</v>
      </c>
      <c r="H29" s="37">
        <v>0.53</v>
      </c>
      <c r="I29" s="37">
        <v>0.53</v>
      </c>
      <c r="J29" s="37">
        <v>0.53</v>
      </c>
      <c r="K29" s="37">
        <v>0.53</v>
      </c>
      <c r="L29" s="38">
        <v>0.53</v>
      </c>
      <c r="N29" s="36" t="s">
        <v>1044</v>
      </c>
      <c r="O29" s="37">
        <v>0.53</v>
      </c>
      <c r="P29" s="37">
        <v>0.53</v>
      </c>
      <c r="Q29" s="37">
        <v>0.53</v>
      </c>
      <c r="R29" s="37">
        <v>0.53</v>
      </c>
      <c r="S29" s="37">
        <v>0.53</v>
      </c>
      <c r="T29" s="37">
        <v>0.53</v>
      </c>
      <c r="U29" s="37">
        <v>0.53</v>
      </c>
      <c r="V29" s="37">
        <v>0.53</v>
      </c>
      <c r="W29" s="37">
        <v>0.53</v>
      </c>
      <c r="X29" s="38">
        <v>0.53</v>
      </c>
      <c r="Z29" s="36" t="s">
        <v>1044</v>
      </c>
      <c r="AA29" s="37">
        <v>0.53</v>
      </c>
      <c r="AB29" s="37">
        <v>0.53</v>
      </c>
      <c r="AC29" s="37">
        <v>0.53</v>
      </c>
      <c r="AD29" s="37">
        <v>0.53</v>
      </c>
      <c r="AE29" s="37">
        <v>0.53</v>
      </c>
      <c r="AF29" s="37">
        <v>0.53</v>
      </c>
      <c r="AG29" s="37">
        <v>0.53</v>
      </c>
      <c r="AH29" s="37">
        <v>0.53</v>
      </c>
      <c r="AI29" s="37">
        <v>0.53</v>
      </c>
      <c r="AJ29" s="38">
        <v>0.53</v>
      </c>
      <c r="AL29" s="36" t="s">
        <v>1044</v>
      </c>
      <c r="AM29" s="37">
        <v>0.53</v>
      </c>
      <c r="AN29" s="37">
        <v>0.53</v>
      </c>
      <c r="AO29" s="37">
        <v>0.53</v>
      </c>
      <c r="AP29" s="37">
        <v>0.53</v>
      </c>
      <c r="AQ29" s="37">
        <v>0.53</v>
      </c>
      <c r="AR29" s="37">
        <v>0.53</v>
      </c>
      <c r="AS29" s="37">
        <v>0.53</v>
      </c>
      <c r="AT29" s="37">
        <v>0.53</v>
      </c>
      <c r="AU29" s="37">
        <v>0.53</v>
      </c>
      <c r="AV29" s="38">
        <v>0.53</v>
      </c>
    </row>
    <row r="30" spans="1:48" x14ac:dyDescent="0.25">
      <c r="A30" s="23" t="s">
        <v>1056</v>
      </c>
      <c r="B30" s="36" t="s">
        <v>1041</v>
      </c>
      <c r="C30" s="39">
        <v>10</v>
      </c>
      <c r="D30" s="39">
        <v>10</v>
      </c>
      <c r="E30" s="39">
        <v>10</v>
      </c>
      <c r="F30" s="39">
        <v>10</v>
      </c>
      <c r="G30" s="39">
        <v>10</v>
      </c>
      <c r="H30" s="39">
        <v>10</v>
      </c>
      <c r="I30" s="39">
        <v>10</v>
      </c>
      <c r="J30" s="39">
        <v>10</v>
      </c>
      <c r="K30" s="39">
        <v>10</v>
      </c>
      <c r="L30" s="40">
        <v>10</v>
      </c>
      <c r="N30" s="36" t="s">
        <v>1041</v>
      </c>
      <c r="O30" s="39">
        <v>10</v>
      </c>
      <c r="P30" s="39">
        <v>10</v>
      </c>
      <c r="Q30" s="39">
        <v>10</v>
      </c>
      <c r="R30" s="39">
        <v>10</v>
      </c>
      <c r="S30" s="39">
        <v>10</v>
      </c>
      <c r="T30" s="39">
        <v>10</v>
      </c>
      <c r="U30" s="39">
        <v>10</v>
      </c>
      <c r="V30" s="39">
        <v>10</v>
      </c>
      <c r="W30" s="39">
        <v>10</v>
      </c>
      <c r="X30" s="40">
        <v>10</v>
      </c>
      <c r="Z30" s="36" t="s">
        <v>1041</v>
      </c>
      <c r="AA30" s="39">
        <v>10</v>
      </c>
      <c r="AB30" s="39">
        <v>10</v>
      </c>
      <c r="AC30" s="39">
        <v>10</v>
      </c>
      <c r="AD30" s="39">
        <v>10</v>
      </c>
      <c r="AE30" s="39">
        <v>10</v>
      </c>
      <c r="AF30" s="39">
        <v>10</v>
      </c>
      <c r="AG30" s="39">
        <v>10</v>
      </c>
      <c r="AH30" s="39">
        <v>10</v>
      </c>
      <c r="AI30" s="39">
        <v>10</v>
      </c>
      <c r="AJ30" s="40">
        <v>10</v>
      </c>
      <c r="AL30" s="36" t="s">
        <v>1041</v>
      </c>
      <c r="AM30" s="39">
        <v>10</v>
      </c>
      <c r="AN30" s="39">
        <v>10</v>
      </c>
      <c r="AO30" s="39">
        <v>10</v>
      </c>
      <c r="AP30" s="39">
        <v>10</v>
      </c>
      <c r="AQ30" s="39">
        <v>10</v>
      </c>
      <c r="AR30" s="39">
        <v>10</v>
      </c>
      <c r="AS30" s="39">
        <v>10</v>
      </c>
      <c r="AT30" s="39">
        <v>10</v>
      </c>
      <c r="AU30" s="39">
        <v>10</v>
      </c>
      <c r="AV30" s="40">
        <v>10</v>
      </c>
    </row>
    <row r="31" spans="1:48" ht="15.75" thickBot="1" x14ac:dyDescent="0.3">
      <c r="A31" s="23" t="s">
        <v>1056</v>
      </c>
      <c r="B31" s="41" t="s">
        <v>1045</v>
      </c>
      <c r="C31" s="42">
        <v>25</v>
      </c>
      <c r="D31" s="42">
        <v>25</v>
      </c>
      <c r="E31" s="42">
        <v>25</v>
      </c>
      <c r="F31" s="42">
        <v>25</v>
      </c>
      <c r="G31" s="42">
        <v>25</v>
      </c>
      <c r="H31" s="42">
        <v>25</v>
      </c>
      <c r="I31" s="42">
        <v>25</v>
      </c>
      <c r="J31" s="42">
        <v>25</v>
      </c>
      <c r="K31" s="42">
        <v>25</v>
      </c>
      <c r="L31" s="43">
        <v>25</v>
      </c>
      <c r="N31" s="41" t="s">
        <v>1045</v>
      </c>
      <c r="O31" s="42">
        <v>25</v>
      </c>
      <c r="P31" s="42">
        <v>25</v>
      </c>
      <c r="Q31" s="42">
        <v>25</v>
      </c>
      <c r="R31" s="42">
        <v>25</v>
      </c>
      <c r="S31" s="42">
        <v>25</v>
      </c>
      <c r="T31" s="42">
        <v>25</v>
      </c>
      <c r="U31" s="42">
        <v>25</v>
      </c>
      <c r="V31" s="42">
        <v>25</v>
      </c>
      <c r="W31" s="42">
        <v>25</v>
      </c>
      <c r="X31" s="43">
        <v>25</v>
      </c>
      <c r="Z31" s="41" t="s">
        <v>1045</v>
      </c>
      <c r="AA31" s="42">
        <v>25</v>
      </c>
      <c r="AB31" s="42">
        <v>25</v>
      </c>
      <c r="AC31" s="42">
        <v>25</v>
      </c>
      <c r="AD31" s="42">
        <v>25</v>
      </c>
      <c r="AE31" s="42">
        <v>25</v>
      </c>
      <c r="AF31" s="42">
        <v>25</v>
      </c>
      <c r="AG31" s="42">
        <v>25</v>
      </c>
      <c r="AH31" s="42">
        <v>25</v>
      </c>
      <c r="AI31" s="42">
        <v>25</v>
      </c>
      <c r="AJ31" s="43">
        <v>25</v>
      </c>
      <c r="AL31" s="41" t="s">
        <v>1045</v>
      </c>
      <c r="AM31" s="42">
        <v>25</v>
      </c>
      <c r="AN31" s="42">
        <v>25</v>
      </c>
      <c r="AO31" s="42">
        <v>25</v>
      </c>
      <c r="AP31" s="42">
        <v>25</v>
      </c>
      <c r="AQ31" s="42">
        <v>25</v>
      </c>
      <c r="AR31" s="42">
        <v>25</v>
      </c>
      <c r="AS31" s="42">
        <v>25</v>
      </c>
      <c r="AT31" s="42">
        <v>25</v>
      </c>
      <c r="AU31" s="42">
        <v>25</v>
      </c>
      <c r="AV31" s="43">
        <v>25</v>
      </c>
    </row>
    <row r="32" spans="1:48" ht="15.75" thickTop="1" x14ac:dyDescent="0.25">
      <c r="B32" s="32">
        <v>2011</v>
      </c>
      <c r="C32" s="33" t="s">
        <v>8</v>
      </c>
      <c r="D32" s="34" t="s">
        <v>9</v>
      </c>
      <c r="E32" s="34" t="s">
        <v>12</v>
      </c>
      <c r="F32" s="34" t="s">
        <v>13</v>
      </c>
      <c r="G32" s="34" t="s">
        <v>16</v>
      </c>
      <c r="H32" s="34" t="s">
        <v>17</v>
      </c>
      <c r="I32" s="34" t="s">
        <v>18</v>
      </c>
      <c r="J32" s="34" t="s">
        <v>20</v>
      </c>
      <c r="K32" s="34" t="s">
        <v>21</v>
      </c>
      <c r="L32" s="35" t="s">
        <v>23</v>
      </c>
      <c r="N32" s="32">
        <v>2011</v>
      </c>
      <c r="O32" s="33" t="s">
        <v>8</v>
      </c>
      <c r="P32" s="34" t="s">
        <v>9</v>
      </c>
      <c r="Q32" s="34" t="s">
        <v>12</v>
      </c>
      <c r="R32" s="34" t="s">
        <v>13</v>
      </c>
      <c r="S32" s="34" t="s">
        <v>16</v>
      </c>
      <c r="T32" s="34" t="s">
        <v>17</v>
      </c>
      <c r="U32" s="34" t="s">
        <v>18</v>
      </c>
      <c r="V32" s="34" t="s">
        <v>20</v>
      </c>
      <c r="W32" s="34" t="s">
        <v>21</v>
      </c>
      <c r="X32" s="35" t="s">
        <v>23</v>
      </c>
      <c r="Z32" s="32">
        <v>2011</v>
      </c>
      <c r="AA32" s="33" t="s">
        <v>8</v>
      </c>
      <c r="AB32" s="34" t="s">
        <v>9</v>
      </c>
      <c r="AC32" s="34" t="s">
        <v>12</v>
      </c>
      <c r="AD32" s="34" t="s">
        <v>13</v>
      </c>
      <c r="AE32" s="34" t="s">
        <v>16</v>
      </c>
      <c r="AF32" s="34" t="s">
        <v>17</v>
      </c>
      <c r="AG32" s="34" t="s">
        <v>18</v>
      </c>
      <c r="AH32" s="34" t="s">
        <v>20</v>
      </c>
      <c r="AI32" s="34" t="s">
        <v>21</v>
      </c>
      <c r="AJ32" s="35" t="s">
        <v>23</v>
      </c>
      <c r="AL32" s="32">
        <v>2011</v>
      </c>
      <c r="AM32" s="33" t="s">
        <v>8</v>
      </c>
      <c r="AN32" s="34" t="s">
        <v>9</v>
      </c>
      <c r="AO32" s="34" t="s">
        <v>12</v>
      </c>
      <c r="AP32" s="34" t="s">
        <v>13</v>
      </c>
      <c r="AQ32" s="34" t="s">
        <v>16</v>
      </c>
      <c r="AR32" s="34" t="s">
        <v>17</v>
      </c>
      <c r="AS32" s="34" t="s">
        <v>18</v>
      </c>
      <c r="AT32" s="34" t="s">
        <v>20</v>
      </c>
      <c r="AU32" s="34" t="s">
        <v>21</v>
      </c>
      <c r="AV32" s="35" t="s">
        <v>23</v>
      </c>
    </row>
    <row r="33" spans="1:48" x14ac:dyDescent="0.25">
      <c r="A33" s="23" t="s">
        <v>1057</v>
      </c>
      <c r="B33" s="36" t="s">
        <v>1042</v>
      </c>
      <c r="C33" s="37">
        <v>0.94</v>
      </c>
      <c r="D33" s="37">
        <v>0.94</v>
      </c>
      <c r="E33" s="37">
        <v>0.82</v>
      </c>
      <c r="F33" s="37">
        <v>0.82</v>
      </c>
      <c r="G33" s="37">
        <v>0.73</v>
      </c>
      <c r="H33" s="37">
        <v>0.73</v>
      </c>
      <c r="I33" s="37">
        <v>0.73</v>
      </c>
      <c r="J33" s="37">
        <v>0.66</v>
      </c>
      <c r="K33" s="37">
        <v>0.66</v>
      </c>
      <c r="L33" s="38">
        <v>0.56999999999999995</v>
      </c>
      <c r="N33" s="36" t="s">
        <v>1042</v>
      </c>
      <c r="O33" s="37">
        <v>0.94</v>
      </c>
      <c r="P33" s="37">
        <v>0.94</v>
      </c>
      <c r="Q33" s="37">
        <v>0.82</v>
      </c>
      <c r="R33" s="37">
        <v>0.82</v>
      </c>
      <c r="S33" s="37">
        <v>0.73</v>
      </c>
      <c r="T33" s="37">
        <v>0.73</v>
      </c>
      <c r="U33" s="37">
        <v>0.73</v>
      </c>
      <c r="V33" s="37">
        <v>0.66</v>
      </c>
      <c r="W33" s="37">
        <v>0.66</v>
      </c>
      <c r="X33" s="38">
        <v>0.56999999999999995</v>
      </c>
      <c r="Z33" s="36" t="s">
        <v>1042</v>
      </c>
      <c r="AA33" s="37">
        <v>0.94</v>
      </c>
      <c r="AB33" s="37">
        <v>0.94</v>
      </c>
      <c r="AC33" s="37">
        <v>0.82</v>
      </c>
      <c r="AD33" s="37">
        <v>0.82</v>
      </c>
      <c r="AE33" s="37">
        <v>0.73</v>
      </c>
      <c r="AF33" s="37">
        <v>0.73</v>
      </c>
      <c r="AG33" s="37">
        <v>0.73</v>
      </c>
      <c r="AH33" s="37">
        <v>0.66</v>
      </c>
      <c r="AI33" s="37">
        <v>0.66</v>
      </c>
      <c r="AJ33" s="38">
        <v>0.56999999999999995</v>
      </c>
      <c r="AL33" s="36" t="s">
        <v>1042</v>
      </c>
      <c r="AM33" s="37">
        <v>0.94</v>
      </c>
      <c r="AN33" s="37">
        <v>0.94</v>
      </c>
      <c r="AO33" s="37">
        <v>0.82</v>
      </c>
      <c r="AP33" s="37">
        <v>0.82</v>
      </c>
      <c r="AQ33" s="37">
        <v>0.73</v>
      </c>
      <c r="AR33" s="37">
        <v>0.73</v>
      </c>
      <c r="AS33" s="37">
        <v>0.73</v>
      </c>
      <c r="AT33" s="37">
        <v>0.66</v>
      </c>
      <c r="AU33" s="37">
        <v>0.66</v>
      </c>
      <c r="AV33" s="38">
        <v>0.56999999999999995</v>
      </c>
    </row>
    <row r="34" spans="1:48" x14ac:dyDescent="0.25">
      <c r="A34" s="23" t="s">
        <v>1057</v>
      </c>
      <c r="B34" s="36" t="s">
        <v>1043</v>
      </c>
      <c r="C34" s="39">
        <v>0.5</v>
      </c>
      <c r="D34" s="39">
        <v>0.5</v>
      </c>
      <c r="E34" s="39">
        <v>0.45</v>
      </c>
      <c r="F34" s="39">
        <v>0.45</v>
      </c>
      <c r="G34" s="39">
        <v>0.41</v>
      </c>
      <c r="H34" s="39">
        <v>0.41</v>
      </c>
      <c r="I34" s="39">
        <v>0.41</v>
      </c>
      <c r="J34" s="39">
        <v>0.38</v>
      </c>
      <c r="K34" s="39">
        <v>0.38</v>
      </c>
      <c r="L34" s="40">
        <v>0.35</v>
      </c>
      <c r="N34" s="36" t="s">
        <v>1043</v>
      </c>
      <c r="O34" s="39">
        <v>0.5</v>
      </c>
      <c r="P34" s="39">
        <v>0.5</v>
      </c>
      <c r="Q34" s="39">
        <v>0.45</v>
      </c>
      <c r="R34" s="39">
        <v>0.45</v>
      </c>
      <c r="S34" s="39">
        <v>0.41</v>
      </c>
      <c r="T34" s="39">
        <v>0.41</v>
      </c>
      <c r="U34" s="39">
        <v>0.41</v>
      </c>
      <c r="V34" s="39">
        <v>0.38</v>
      </c>
      <c r="W34" s="39">
        <v>0.38</v>
      </c>
      <c r="X34" s="40">
        <v>0.35</v>
      </c>
      <c r="Z34" s="36" t="s">
        <v>1043</v>
      </c>
      <c r="AA34" s="39">
        <v>0.5</v>
      </c>
      <c r="AB34" s="39">
        <v>0.5</v>
      </c>
      <c r="AC34" s="39">
        <v>0.45</v>
      </c>
      <c r="AD34" s="39">
        <v>0.45</v>
      </c>
      <c r="AE34" s="39">
        <v>0.41</v>
      </c>
      <c r="AF34" s="39">
        <v>0.41</v>
      </c>
      <c r="AG34" s="39">
        <v>0.41</v>
      </c>
      <c r="AH34" s="39">
        <v>0.38</v>
      </c>
      <c r="AI34" s="39">
        <v>0.38</v>
      </c>
      <c r="AJ34" s="40">
        <v>0.35</v>
      </c>
      <c r="AL34" s="36" t="s">
        <v>1043</v>
      </c>
      <c r="AM34" s="39">
        <v>0.5</v>
      </c>
      <c r="AN34" s="39">
        <v>0.5</v>
      </c>
      <c r="AO34" s="39">
        <v>0.45</v>
      </c>
      <c r="AP34" s="39">
        <v>0.45</v>
      </c>
      <c r="AQ34" s="39">
        <v>0.41</v>
      </c>
      <c r="AR34" s="39">
        <v>0.41</v>
      </c>
      <c r="AS34" s="39">
        <v>0.41</v>
      </c>
      <c r="AT34" s="39">
        <v>0.38</v>
      </c>
      <c r="AU34" s="39">
        <v>0.38</v>
      </c>
      <c r="AV34" s="40">
        <v>0.35</v>
      </c>
    </row>
    <row r="35" spans="1:48" x14ac:dyDescent="0.25">
      <c r="A35" s="23" t="s">
        <v>1057</v>
      </c>
      <c r="B35" s="36" t="s">
        <v>1044</v>
      </c>
      <c r="C35" s="37">
        <v>0.53</v>
      </c>
      <c r="D35" s="37">
        <v>0.53</v>
      </c>
      <c r="E35" s="37">
        <v>0.52</v>
      </c>
      <c r="F35" s="37">
        <v>0.52</v>
      </c>
      <c r="G35" s="37">
        <v>0.5</v>
      </c>
      <c r="H35" s="37">
        <v>0.5</v>
      </c>
      <c r="I35" s="37">
        <v>0.5</v>
      </c>
      <c r="J35" s="37">
        <v>0.49</v>
      </c>
      <c r="K35" s="37">
        <v>0.49</v>
      </c>
      <c r="L35" s="38">
        <v>0.48</v>
      </c>
      <c r="N35" s="36" t="s">
        <v>1044</v>
      </c>
      <c r="O35" s="37">
        <v>0.53</v>
      </c>
      <c r="P35" s="37">
        <v>0.53</v>
      </c>
      <c r="Q35" s="37">
        <v>0.52</v>
      </c>
      <c r="R35" s="37">
        <v>0.52</v>
      </c>
      <c r="S35" s="37">
        <v>0.5</v>
      </c>
      <c r="T35" s="37">
        <v>0.5</v>
      </c>
      <c r="U35" s="37">
        <v>0.5</v>
      </c>
      <c r="V35" s="37">
        <v>0.49</v>
      </c>
      <c r="W35" s="37">
        <v>0.49</v>
      </c>
      <c r="X35" s="38">
        <v>0.48</v>
      </c>
      <c r="Z35" s="36" t="s">
        <v>1044</v>
      </c>
      <c r="AA35" s="37">
        <v>0.53</v>
      </c>
      <c r="AB35" s="37">
        <v>0.53</v>
      </c>
      <c r="AC35" s="37">
        <v>0.52</v>
      </c>
      <c r="AD35" s="37">
        <v>0.52</v>
      </c>
      <c r="AE35" s="37">
        <v>0.5</v>
      </c>
      <c r="AF35" s="37">
        <v>0.5</v>
      </c>
      <c r="AG35" s="37">
        <v>0.5</v>
      </c>
      <c r="AH35" s="37">
        <v>0.49</v>
      </c>
      <c r="AI35" s="37">
        <v>0.49</v>
      </c>
      <c r="AJ35" s="38">
        <v>0.48</v>
      </c>
      <c r="AL35" s="36" t="s">
        <v>1044</v>
      </c>
      <c r="AM35" s="37">
        <v>0.53</v>
      </c>
      <c r="AN35" s="37">
        <v>0.53</v>
      </c>
      <c r="AO35" s="37">
        <v>0.52</v>
      </c>
      <c r="AP35" s="37">
        <v>0.52</v>
      </c>
      <c r="AQ35" s="37">
        <v>0.5</v>
      </c>
      <c r="AR35" s="37">
        <v>0.5</v>
      </c>
      <c r="AS35" s="37">
        <v>0.5</v>
      </c>
      <c r="AT35" s="37">
        <v>0.49</v>
      </c>
      <c r="AU35" s="37">
        <v>0.49</v>
      </c>
      <c r="AV35" s="38">
        <v>0.48</v>
      </c>
    </row>
    <row r="36" spans="1:48" x14ac:dyDescent="0.25">
      <c r="A36" s="23" t="s">
        <v>1057</v>
      </c>
      <c r="B36" s="36" t="s">
        <v>1041</v>
      </c>
      <c r="C36" s="39">
        <v>10</v>
      </c>
      <c r="D36" s="39">
        <v>10</v>
      </c>
      <c r="E36" s="39">
        <v>10</v>
      </c>
      <c r="F36" s="39">
        <v>10</v>
      </c>
      <c r="G36" s="39">
        <v>10</v>
      </c>
      <c r="H36" s="39">
        <v>10</v>
      </c>
      <c r="I36" s="39">
        <v>10</v>
      </c>
      <c r="J36" s="39">
        <v>10</v>
      </c>
      <c r="K36" s="39">
        <v>10</v>
      </c>
      <c r="L36" s="40">
        <v>10</v>
      </c>
      <c r="N36" s="36" t="s">
        <v>1041</v>
      </c>
      <c r="O36" s="39">
        <v>10</v>
      </c>
      <c r="P36" s="39">
        <v>10</v>
      </c>
      <c r="Q36" s="39">
        <v>10</v>
      </c>
      <c r="R36" s="39">
        <v>10</v>
      </c>
      <c r="S36" s="39">
        <v>10</v>
      </c>
      <c r="T36" s="39">
        <v>10</v>
      </c>
      <c r="U36" s="39">
        <v>10</v>
      </c>
      <c r="V36" s="39">
        <v>10</v>
      </c>
      <c r="W36" s="39">
        <v>10</v>
      </c>
      <c r="X36" s="40">
        <v>10</v>
      </c>
      <c r="Z36" s="36" t="s">
        <v>1041</v>
      </c>
      <c r="AA36" s="39">
        <v>10</v>
      </c>
      <c r="AB36" s="39">
        <v>10</v>
      </c>
      <c r="AC36" s="39">
        <v>10</v>
      </c>
      <c r="AD36" s="39">
        <v>10</v>
      </c>
      <c r="AE36" s="39">
        <v>10</v>
      </c>
      <c r="AF36" s="39">
        <v>10</v>
      </c>
      <c r="AG36" s="39">
        <v>10</v>
      </c>
      <c r="AH36" s="39">
        <v>10</v>
      </c>
      <c r="AI36" s="39">
        <v>10</v>
      </c>
      <c r="AJ36" s="40">
        <v>10</v>
      </c>
      <c r="AL36" s="36" t="s">
        <v>1041</v>
      </c>
      <c r="AM36" s="39">
        <v>10</v>
      </c>
      <c r="AN36" s="39">
        <v>10</v>
      </c>
      <c r="AO36" s="39">
        <v>10</v>
      </c>
      <c r="AP36" s="39">
        <v>10</v>
      </c>
      <c r="AQ36" s="39">
        <v>10</v>
      </c>
      <c r="AR36" s="39">
        <v>10</v>
      </c>
      <c r="AS36" s="39">
        <v>10</v>
      </c>
      <c r="AT36" s="39">
        <v>10</v>
      </c>
      <c r="AU36" s="39">
        <v>10</v>
      </c>
      <c r="AV36" s="40">
        <v>10</v>
      </c>
    </row>
    <row r="37" spans="1:48" ht="15.75" thickBot="1" x14ac:dyDescent="0.3">
      <c r="A37" s="23" t="s">
        <v>1057</v>
      </c>
      <c r="B37" s="41" t="s">
        <v>1045</v>
      </c>
      <c r="C37" s="42">
        <v>25</v>
      </c>
      <c r="D37" s="42">
        <v>25</v>
      </c>
      <c r="E37" s="42">
        <v>25</v>
      </c>
      <c r="F37" s="42">
        <v>25</v>
      </c>
      <c r="G37" s="42">
        <v>25</v>
      </c>
      <c r="H37" s="42">
        <v>25</v>
      </c>
      <c r="I37" s="42">
        <v>25</v>
      </c>
      <c r="J37" s="42">
        <v>25</v>
      </c>
      <c r="K37" s="42">
        <v>25</v>
      </c>
      <c r="L37" s="43">
        <v>25</v>
      </c>
      <c r="N37" s="41" t="s">
        <v>1045</v>
      </c>
      <c r="O37" s="42">
        <v>25</v>
      </c>
      <c r="P37" s="42">
        <v>25</v>
      </c>
      <c r="Q37" s="42">
        <v>25</v>
      </c>
      <c r="R37" s="42">
        <v>25</v>
      </c>
      <c r="S37" s="42">
        <v>25</v>
      </c>
      <c r="T37" s="42">
        <v>25</v>
      </c>
      <c r="U37" s="42">
        <v>25</v>
      </c>
      <c r="V37" s="42">
        <v>25</v>
      </c>
      <c r="W37" s="42">
        <v>25</v>
      </c>
      <c r="X37" s="43">
        <v>25</v>
      </c>
      <c r="Z37" s="41" t="s">
        <v>1045</v>
      </c>
      <c r="AA37" s="42">
        <v>25</v>
      </c>
      <c r="AB37" s="42">
        <v>25</v>
      </c>
      <c r="AC37" s="42">
        <v>25</v>
      </c>
      <c r="AD37" s="42">
        <v>25</v>
      </c>
      <c r="AE37" s="42">
        <v>25</v>
      </c>
      <c r="AF37" s="42">
        <v>25</v>
      </c>
      <c r="AG37" s="42">
        <v>25</v>
      </c>
      <c r="AH37" s="42">
        <v>25</v>
      </c>
      <c r="AI37" s="42">
        <v>25</v>
      </c>
      <c r="AJ37" s="43">
        <v>25</v>
      </c>
      <c r="AL37" s="41" t="s">
        <v>1045</v>
      </c>
      <c r="AM37" s="42">
        <v>25</v>
      </c>
      <c r="AN37" s="42">
        <v>25</v>
      </c>
      <c r="AO37" s="42">
        <v>25</v>
      </c>
      <c r="AP37" s="42">
        <v>25</v>
      </c>
      <c r="AQ37" s="42">
        <v>25</v>
      </c>
      <c r="AR37" s="42">
        <v>25</v>
      </c>
      <c r="AS37" s="42">
        <v>25</v>
      </c>
      <c r="AT37" s="42">
        <v>25</v>
      </c>
      <c r="AU37" s="42">
        <v>25</v>
      </c>
      <c r="AV37" s="43">
        <v>25</v>
      </c>
    </row>
    <row r="38" spans="1:48" ht="15.75" thickTop="1" x14ac:dyDescent="0.25">
      <c r="B38" s="32">
        <v>2015</v>
      </c>
      <c r="C38" s="33" t="s">
        <v>8</v>
      </c>
      <c r="D38" s="34" t="s">
        <v>9</v>
      </c>
      <c r="E38" s="34" t="s">
        <v>12</v>
      </c>
      <c r="F38" s="34" t="s">
        <v>13</v>
      </c>
      <c r="G38" s="34" t="s">
        <v>16</v>
      </c>
      <c r="H38" s="34" t="s">
        <v>17</v>
      </c>
      <c r="I38" s="34" t="s">
        <v>18</v>
      </c>
      <c r="J38" s="34" t="s">
        <v>20</v>
      </c>
      <c r="K38" s="34" t="s">
        <v>21</v>
      </c>
      <c r="L38" s="35" t="s">
        <v>23</v>
      </c>
      <c r="N38" s="32">
        <v>2015</v>
      </c>
      <c r="O38" s="33" t="s">
        <v>8</v>
      </c>
      <c r="P38" s="34" t="s">
        <v>9</v>
      </c>
      <c r="Q38" s="34" t="s">
        <v>12</v>
      </c>
      <c r="R38" s="34" t="s">
        <v>13</v>
      </c>
      <c r="S38" s="34" t="s">
        <v>16</v>
      </c>
      <c r="T38" s="34" t="s">
        <v>17</v>
      </c>
      <c r="U38" s="34" t="s">
        <v>18</v>
      </c>
      <c r="V38" s="34" t="s">
        <v>20</v>
      </c>
      <c r="W38" s="34" t="s">
        <v>21</v>
      </c>
      <c r="X38" s="35" t="s">
        <v>23</v>
      </c>
      <c r="Z38" s="32">
        <v>2015</v>
      </c>
      <c r="AA38" s="33" t="s">
        <v>8</v>
      </c>
      <c r="AB38" s="34" t="s">
        <v>9</v>
      </c>
      <c r="AC38" s="34" t="s">
        <v>12</v>
      </c>
      <c r="AD38" s="34" t="s">
        <v>13</v>
      </c>
      <c r="AE38" s="34" t="s">
        <v>16</v>
      </c>
      <c r="AF38" s="34" t="s">
        <v>17</v>
      </c>
      <c r="AG38" s="34" t="s">
        <v>18</v>
      </c>
      <c r="AH38" s="34" t="s">
        <v>20</v>
      </c>
      <c r="AI38" s="34" t="s">
        <v>21</v>
      </c>
      <c r="AJ38" s="35" t="s">
        <v>23</v>
      </c>
      <c r="AL38" s="32">
        <v>2015</v>
      </c>
      <c r="AM38" s="33" t="s">
        <v>8</v>
      </c>
      <c r="AN38" s="34" t="s">
        <v>9</v>
      </c>
      <c r="AO38" s="34" t="s">
        <v>12</v>
      </c>
      <c r="AP38" s="34" t="s">
        <v>13</v>
      </c>
      <c r="AQ38" s="34" t="s">
        <v>16</v>
      </c>
      <c r="AR38" s="34" t="s">
        <v>17</v>
      </c>
      <c r="AS38" s="34" t="s">
        <v>18</v>
      </c>
      <c r="AT38" s="34" t="s">
        <v>20</v>
      </c>
      <c r="AU38" s="34" t="s">
        <v>21</v>
      </c>
      <c r="AV38" s="35" t="s">
        <v>23</v>
      </c>
    </row>
    <row r="39" spans="1:48" x14ac:dyDescent="0.25">
      <c r="A39" s="22" t="s">
        <v>1058</v>
      </c>
      <c r="B39" s="36" t="s">
        <v>1042</v>
      </c>
      <c r="C39" s="37">
        <v>0.5</v>
      </c>
      <c r="D39" s="37">
        <v>0.5</v>
      </c>
      <c r="E39" s="37">
        <v>0.38</v>
      </c>
      <c r="F39" s="37">
        <v>0.38</v>
      </c>
      <c r="G39" s="37">
        <v>0.28999999999999998</v>
      </c>
      <c r="H39" s="37">
        <v>0.28999999999999998</v>
      </c>
      <c r="I39" s="37">
        <v>0.28999999999999998</v>
      </c>
      <c r="J39" s="37">
        <v>0.27</v>
      </c>
      <c r="K39" s="37">
        <v>0.27</v>
      </c>
      <c r="L39" s="38">
        <v>0.25</v>
      </c>
      <c r="N39" s="36" t="s">
        <v>1042</v>
      </c>
      <c r="O39" s="37">
        <v>0.5</v>
      </c>
      <c r="P39" s="37">
        <v>0.5</v>
      </c>
      <c r="Q39" s="37">
        <v>0.38</v>
      </c>
      <c r="R39" s="37">
        <v>0.38</v>
      </c>
      <c r="S39" s="37">
        <v>0.28999999999999998</v>
      </c>
      <c r="T39" s="37">
        <v>0.28999999999999998</v>
      </c>
      <c r="U39" s="37">
        <v>0.28999999999999998</v>
      </c>
      <c r="V39" s="37">
        <v>0.27</v>
      </c>
      <c r="W39" s="37">
        <v>0.27</v>
      </c>
      <c r="X39" s="38">
        <v>0.25</v>
      </c>
      <c r="Z39" s="36" t="s">
        <v>1042</v>
      </c>
      <c r="AA39" s="37">
        <v>0.5</v>
      </c>
      <c r="AB39" s="37">
        <v>0.5</v>
      </c>
      <c r="AC39" s="37">
        <v>0.38</v>
      </c>
      <c r="AD39" s="37">
        <v>0.38</v>
      </c>
      <c r="AE39" s="37">
        <v>0.28999999999999998</v>
      </c>
      <c r="AF39" s="37">
        <v>0.28999999999999998</v>
      </c>
      <c r="AG39" s="37">
        <v>0.28999999999999998</v>
      </c>
      <c r="AH39" s="37">
        <v>0.27</v>
      </c>
      <c r="AI39" s="37">
        <v>0.27</v>
      </c>
      <c r="AJ39" s="38">
        <v>0.25</v>
      </c>
      <c r="AL39" s="36" t="s">
        <v>1042</v>
      </c>
      <c r="AM39" s="37">
        <v>0.5</v>
      </c>
      <c r="AN39" s="37">
        <v>0.5</v>
      </c>
      <c r="AO39" s="37">
        <v>0.38</v>
      </c>
      <c r="AP39" s="37">
        <v>0.38</v>
      </c>
      <c r="AQ39" s="37">
        <v>0.28999999999999998</v>
      </c>
      <c r="AR39" s="37">
        <v>0.28999999999999998</v>
      </c>
      <c r="AS39" s="37">
        <v>0.28999999999999998</v>
      </c>
      <c r="AT39" s="37">
        <v>0.27</v>
      </c>
      <c r="AU39" s="37">
        <v>0.27</v>
      </c>
      <c r="AV39" s="38">
        <v>0.25</v>
      </c>
    </row>
    <row r="40" spans="1:48" x14ac:dyDescent="0.25">
      <c r="A40" s="23" t="s">
        <v>1058</v>
      </c>
      <c r="B40" s="36" t="s">
        <v>1043</v>
      </c>
      <c r="C40" s="39">
        <v>0.47</v>
      </c>
      <c r="D40" s="39">
        <v>0.47</v>
      </c>
      <c r="E40" s="39">
        <v>0.33</v>
      </c>
      <c r="F40" s="39">
        <v>0.33</v>
      </c>
      <c r="G40" s="39">
        <v>0.23</v>
      </c>
      <c r="H40" s="39">
        <v>0.23</v>
      </c>
      <c r="I40" s="39">
        <v>0.23</v>
      </c>
      <c r="J40" s="39">
        <v>0.22</v>
      </c>
      <c r="K40" s="39">
        <v>0.22</v>
      </c>
      <c r="L40" s="40">
        <v>0.19</v>
      </c>
      <c r="N40" s="36" t="s">
        <v>1043</v>
      </c>
      <c r="O40" s="39">
        <v>0.47</v>
      </c>
      <c r="P40" s="39">
        <v>0.47</v>
      </c>
      <c r="Q40" s="39">
        <v>0.33</v>
      </c>
      <c r="R40" s="39">
        <v>0.33</v>
      </c>
      <c r="S40" s="39">
        <v>0.23</v>
      </c>
      <c r="T40" s="39">
        <v>0.23</v>
      </c>
      <c r="U40" s="39">
        <v>0.23</v>
      </c>
      <c r="V40" s="39">
        <v>0.22</v>
      </c>
      <c r="W40" s="39">
        <v>0.22</v>
      </c>
      <c r="X40" s="40">
        <v>0.19</v>
      </c>
      <c r="Z40" s="36" t="s">
        <v>1043</v>
      </c>
      <c r="AA40" s="39">
        <v>0.47</v>
      </c>
      <c r="AB40" s="39">
        <v>0.47</v>
      </c>
      <c r="AC40" s="39">
        <v>0.33</v>
      </c>
      <c r="AD40" s="39">
        <v>0.33</v>
      </c>
      <c r="AE40" s="39">
        <v>0.23</v>
      </c>
      <c r="AF40" s="39">
        <v>0.23</v>
      </c>
      <c r="AG40" s="39">
        <v>0.23</v>
      </c>
      <c r="AH40" s="39">
        <v>0.22</v>
      </c>
      <c r="AI40" s="39">
        <v>0.22</v>
      </c>
      <c r="AJ40" s="40">
        <v>0.19</v>
      </c>
      <c r="AL40" s="36" t="s">
        <v>1043</v>
      </c>
      <c r="AM40" s="39">
        <v>0.47</v>
      </c>
      <c r="AN40" s="39">
        <v>0.47</v>
      </c>
      <c r="AO40" s="39">
        <v>0.33</v>
      </c>
      <c r="AP40" s="39">
        <v>0.33</v>
      </c>
      <c r="AQ40" s="39">
        <v>0.23</v>
      </c>
      <c r="AR40" s="39">
        <v>0.23</v>
      </c>
      <c r="AS40" s="39">
        <v>0.23</v>
      </c>
      <c r="AT40" s="39">
        <v>0.22</v>
      </c>
      <c r="AU40" s="39">
        <v>0.22</v>
      </c>
      <c r="AV40" s="40">
        <v>0.19</v>
      </c>
    </row>
    <row r="41" spans="1:48" x14ac:dyDescent="0.25">
      <c r="A41" s="23" t="s">
        <v>1058</v>
      </c>
      <c r="B41" s="36" t="s">
        <v>1044</v>
      </c>
      <c r="C41" s="37">
        <v>0.53</v>
      </c>
      <c r="D41" s="37">
        <v>0.53</v>
      </c>
      <c r="E41" s="37">
        <v>0.46</v>
      </c>
      <c r="F41" s="37">
        <v>0.46</v>
      </c>
      <c r="G41" s="37">
        <v>0.36</v>
      </c>
      <c r="H41" s="37">
        <v>0.36</v>
      </c>
      <c r="I41" s="37">
        <v>0.36</v>
      </c>
      <c r="J41" s="37">
        <v>0.34</v>
      </c>
      <c r="K41" s="37">
        <v>0.34</v>
      </c>
      <c r="L41" s="38">
        <v>0.31</v>
      </c>
      <c r="N41" s="36" t="s">
        <v>1044</v>
      </c>
      <c r="O41" s="37">
        <v>0.53</v>
      </c>
      <c r="P41" s="37">
        <v>0.53</v>
      </c>
      <c r="Q41" s="37">
        <v>0.46</v>
      </c>
      <c r="R41" s="37">
        <v>0.46</v>
      </c>
      <c r="S41" s="37">
        <v>0.36</v>
      </c>
      <c r="T41" s="37">
        <v>0.36</v>
      </c>
      <c r="U41" s="37">
        <v>0.36</v>
      </c>
      <c r="V41" s="37">
        <v>0.34</v>
      </c>
      <c r="W41" s="37">
        <v>0.34</v>
      </c>
      <c r="X41" s="38">
        <v>0.31</v>
      </c>
      <c r="Z41" s="36" t="s">
        <v>1044</v>
      </c>
      <c r="AA41" s="37">
        <v>0.53</v>
      </c>
      <c r="AB41" s="37">
        <v>0.53</v>
      </c>
      <c r="AC41" s="37">
        <v>0.46</v>
      </c>
      <c r="AD41" s="37">
        <v>0.46</v>
      </c>
      <c r="AE41" s="37">
        <v>0.36</v>
      </c>
      <c r="AF41" s="37">
        <v>0.36</v>
      </c>
      <c r="AG41" s="37">
        <v>0.36</v>
      </c>
      <c r="AH41" s="37">
        <v>0.34</v>
      </c>
      <c r="AI41" s="37">
        <v>0.34</v>
      </c>
      <c r="AJ41" s="38">
        <v>0.31</v>
      </c>
      <c r="AL41" s="36" t="s">
        <v>1044</v>
      </c>
      <c r="AM41" s="37">
        <v>0.53</v>
      </c>
      <c r="AN41" s="37">
        <v>0.53</v>
      </c>
      <c r="AO41" s="37">
        <v>0.46</v>
      </c>
      <c r="AP41" s="37">
        <v>0.46</v>
      </c>
      <c r="AQ41" s="37">
        <v>0.36</v>
      </c>
      <c r="AR41" s="37">
        <v>0.36</v>
      </c>
      <c r="AS41" s="37">
        <v>0.36</v>
      </c>
      <c r="AT41" s="37">
        <v>0.34</v>
      </c>
      <c r="AU41" s="37">
        <v>0.34</v>
      </c>
      <c r="AV41" s="38">
        <v>0.31</v>
      </c>
    </row>
    <row r="42" spans="1:48" x14ac:dyDescent="0.25">
      <c r="A42" s="23" t="s">
        <v>1058</v>
      </c>
      <c r="B42" s="36" t="s">
        <v>1041</v>
      </c>
      <c r="C42" s="39">
        <v>10</v>
      </c>
      <c r="D42" s="39">
        <v>10</v>
      </c>
      <c r="E42" s="39">
        <v>10</v>
      </c>
      <c r="F42" s="39">
        <v>10</v>
      </c>
      <c r="G42" s="39">
        <v>10</v>
      </c>
      <c r="H42" s="39">
        <v>10</v>
      </c>
      <c r="I42" s="39">
        <v>10</v>
      </c>
      <c r="J42" s="39">
        <v>10</v>
      </c>
      <c r="K42" s="39">
        <v>10</v>
      </c>
      <c r="L42" s="40">
        <v>10</v>
      </c>
      <c r="N42" s="36" t="s">
        <v>1041</v>
      </c>
      <c r="O42" s="39">
        <v>10</v>
      </c>
      <c r="P42" s="39">
        <v>10</v>
      </c>
      <c r="Q42" s="39">
        <v>10</v>
      </c>
      <c r="R42" s="39">
        <v>10</v>
      </c>
      <c r="S42" s="39">
        <v>10</v>
      </c>
      <c r="T42" s="39">
        <v>10</v>
      </c>
      <c r="U42" s="39">
        <v>10</v>
      </c>
      <c r="V42" s="39">
        <v>10</v>
      </c>
      <c r="W42" s="39">
        <v>10</v>
      </c>
      <c r="X42" s="40">
        <v>10</v>
      </c>
      <c r="Z42" s="36" t="s">
        <v>1041</v>
      </c>
      <c r="AA42" s="39">
        <v>10</v>
      </c>
      <c r="AB42" s="39">
        <v>10</v>
      </c>
      <c r="AC42" s="39">
        <v>10</v>
      </c>
      <c r="AD42" s="39">
        <v>10</v>
      </c>
      <c r="AE42" s="39">
        <v>10</v>
      </c>
      <c r="AF42" s="39">
        <v>10</v>
      </c>
      <c r="AG42" s="39">
        <v>10</v>
      </c>
      <c r="AH42" s="39">
        <v>10</v>
      </c>
      <c r="AI42" s="39">
        <v>10</v>
      </c>
      <c r="AJ42" s="40">
        <v>10</v>
      </c>
      <c r="AL42" s="36" t="s">
        <v>1041</v>
      </c>
      <c r="AM42" s="39">
        <v>10</v>
      </c>
      <c r="AN42" s="39">
        <v>10</v>
      </c>
      <c r="AO42" s="39">
        <v>10</v>
      </c>
      <c r="AP42" s="39">
        <v>10</v>
      </c>
      <c r="AQ42" s="39">
        <v>10</v>
      </c>
      <c r="AR42" s="39">
        <v>10</v>
      </c>
      <c r="AS42" s="39">
        <v>10</v>
      </c>
      <c r="AT42" s="39">
        <v>10</v>
      </c>
      <c r="AU42" s="39">
        <v>10</v>
      </c>
      <c r="AV42" s="40">
        <v>10</v>
      </c>
    </row>
    <row r="43" spans="1:48" ht="15.75" thickBot="1" x14ac:dyDescent="0.3">
      <c r="A43" s="23" t="s">
        <v>1058</v>
      </c>
      <c r="B43" s="41" t="s">
        <v>1045</v>
      </c>
      <c r="C43" s="42">
        <v>25</v>
      </c>
      <c r="D43" s="42">
        <v>25</v>
      </c>
      <c r="E43" s="42">
        <v>25</v>
      </c>
      <c r="F43" s="42">
        <v>25</v>
      </c>
      <c r="G43" s="42">
        <v>25</v>
      </c>
      <c r="H43" s="42">
        <v>25</v>
      </c>
      <c r="I43" s="42">
        <v>25</v>
      </c>
      <c r="J43" s="42">
        <v>25</v>
      </c>
      <c r="K43" s="42">
        <v>25</v>
      </c>
      <c r="L43" s="43">
        <v>25</v>
      </c>
      <c r="N43" s="41" t="s">
        <v>1045</v>
      </c>
      <c r="O43" s="42">
        <v>25</v>
      </c>
      <c r="P43" s="42">
        <v>25</v>
      </c>
      <c r="Q43" s="42">
        <v>25</v>
      </c>
      <c r="R43" s="42">
        <v>25</v>
      </c>
      <c r="S43" s="42">
        <v>25</v>
      </c>
      <c r="T43" s="42">
        <v>25</v>
      </c>
      <c r="U43" s="42">
        <v>25</v>
      </c>
      <c r="V43" s="42">
        <v>25</v>
      </c>
      <c r="W43" s="42">
        <v>25</v>
      </c>
      <c r="X43" s="43">
        <v>25</v>
      </c>
      <c r="Z43" s="41" t="s">
        <v>1045</v>
      </c>
      <c r="AA43" s="42">
        <v>25</v>
      </c>
      <c r="AB43" s="42">
        <v>25</v>
      </c>
      <c r="AC43" s="42">
        <v>25</v>
      </c>
      <c r="AD43" s="42">
        <v>25</v>
      </c>
      <c r="AE43" s="42">
        <v>25</v>
      </c>
      <c r="AF43" s="42">
        <v>25</v>
      </c>
      <c r="AG43" s="42">
        <v>25</v>
      </c>
      <c r="AH43" s="42">
        <v>25</v>
      </c>
      <c r="AI43" s="42">
        <v>25</v>
      </c>
      <c r="AJ43" s="43">
        <v>25</v>
      </c>
      <c r="AL43" s="41" t="s">
        <v>1045</v>
      </c>
      <c r="AM43" s="42">
        <v>25</v>
      </c>
      <c r="AN43" s="42">
        <v>25</v>
      </c>
      <c r="AO43" s="42">
        <v>25</v>
      </c>
      <c r="AP43" s="42">
        <v>25</v>
      </c>
      <c r="AQ43" s="42">
        <v>25</v>
      </c>
      <c r="AR43" s="42">
        <v>25</v>
      </c>
      <c r="AS43" s="42">
        <v>25</v>
      </c>
      <c r="AT43" s="42">
        <v>25</v>
      </c>
      <c r="AU43" s="42">
        <v>25</v>
      </c>
      <c r="AV43" s="43">
        <v>25</v>
      </c>
    </row>
    <row r="44" spans="1:48" ht="15.75" thickTop="1" x14ac:dyDescent="0.25">
      <c r="C44" s="30"/>
      <c r="AL44" s="23"/>
      <c r="AM44" s="23"/>
      <c r="AN44" s="23"/>
      <c r="AO44" s="23"/>
      <c r="AP44" s="23"/>
      <c r="AQ44" s="23"/>
      <c r="AR44" s="23"/>
      <c r="AT44" s="23"/>
      <c r="AU44" s="23"/>
      <c r="AV44" s="23"/>
    </row>
    <row r="45" spans="1:48" x14ac:dyDescent="0.25">
      <c r="C45" s="30"/>
    </row>
    <row r="46" spans="1:48" x14ac:dyDescent="0.25">
      <c r="C46" s="30"/>
    </row>
    <row r="47" spans="1:48" x14ac:dyDescent="0.25">
      <c r="C47" s="30"/>
    </row>
    <row r="48" spans="1:48" x14ac:dyDescent="0.25">
      <c r="C48" s="30"/>
    </row>
    <row r="49" spans="3:3" x14ac:dyDescent="0.25">
      <c r="C49" s="30"/>
    </row>
    <row r="50" spans="3:3" x14ac:dyDescent="0.25">
      <c r="C50" s="30"/>
    </row>
    <row r="51" spans="3:3" x14ac:dyDescent="0.25">
      <c r="C51" s="30"/>
    </row>
    <row r="52" spans="3:3" x14ac:dyDescent="0.25">
      <c r="C52" s="30"/>
    </row>
    <row r="53" spans="3:3" x14ac:dyDescent="0.25">
      <c r="C53" s="30"/>
    </row>
    <row r="54" spans="3:3" x14ac:dyDescent="0.25">
      <c r="C54" s="30"/>
    </row>
    <row r="55" spans="3:3" x14ac:dyDescent="0.25">
      <c r="C55" s="30"/>
    </row>
    <row r="56" spans="3:3" x14ac:dyDescent="0.25">
      <c r="C56" s="30"/>
    </row>
    <row r="57" spans="3:3" x14ac:dyDescent="0.25">
      <c r="C57" s="30"/>
    </row>
    <row r="58" spans="3:3" x14ac:dyDescent="0.25">
      <c r="C58" s="30"/>
    </row>
    <row r="59" spans="3:3" x14ac:dyDescent="0.25">
      <c r="C59" s="30"/>
    </row>
    <row r="60" spans="3:3" x14ac:dyDescent="0.25">
      <c r="C60" s="30"/>
    </row>
    <row r="61" spans="3:3" x14ac:dyDescent="0.25">
      <c r="C61" s="30"/>
    </row>
    <row r="62" spans="3:3" x14ac:dyDescent="0.25">
      <c r="C62" s="30"/>
    </row>
    <row r="63" spans="3:3" x14ac:dyDescent="0.25">
      <c r="C63" s="30"/>
    </row>
    <row r="64" spans="3:3" x14ac:dyDescent="0.25">
      <c r="C64" s="30"/>
    </row>
    <row r="65" spans="3:3" x14ac:dyDescent="0.25">
      <c r="C65" s="30"/>
    </row>
    <row r="66" spans="3:3" x14ac:dyDescent="0.25">
      <c r="C66" s="30"/>
    </row>
    <row r="67" spans="3:3" x14ac:dyDescent="0.25">
      <c r="C67" s="30"/>
    </row>
    <row r="68" spans="3:3" x14ac:dyDescent="0.25">
      <c r="C68" s="30"/>
    </row>
    <row r="69" spans="3:3" x14ac:dyDescent="0.25">
      <c r="C69" s="30"/>
    </row>
    <row r="70" spans="3:3" x14ac:dyDescent="0.25">
      <c r="C70" s="30"/>
    </row>
    <row r="71" spans="3:3" x14ac:dyDescent="0.25">
      <c r="C71" s="30"/>
    </row>
    <row r="72" spans="3:3" x14ac:dyDescent="0.25">
      <c r="C72" s="30"/>
    </row>
    <row r="73" spans="3:3" x14ac:dyDescent="0.25">
      <c r="C73" s="30"/>
    </row>
    <row r="74" spans="3:3" x14ac:dyDescent="0.25">
      <c r="C74" s="30"/>
    </row>
    <row r="75" spans="3:3" x14ac:dyDescent="0.25">
      <c r="C75" s="30"/>
    </row>
    <row r="76" spans="3:3" x14ac:dyDescent="0.25">
      <c r="C76" s="30"/>
    </row>
    <row r="77" spans="3:3" x14ac:dyDescent="0.25">
      <c r="C77" s="30"/>
    </row>
    <row r="78" spans="3:3" x14ac:dyDescent="0.25">
      <c r="C78" s="30"/>
    </row>
    <row r="79" spans="3:3" x14ac:dyDescent="0.25">
      <c r="C79" s="30"/>
    </row>
    <row r="80" spans="3:3" x14ac:dyDescent="0.25">
      <c r="C80" s="30"/>
    </row>
    <row r="81" spans="3:3" x14ac:dyDescent="0.25">
      <c r="C81" s="30"/>
    </row>
    <row r="82" spans="3:3" x14ac:dyDescent="0.25">
      <c r="C82" s="30"/>
    </row>
    <row r="83" spans="3:3" x14ac:dyDescent="0.25">
      <c r="C83" s="30"/>
    </row>
    <row r="84" spans="3:3" x14ac:dyDescent="0.25">
      <c r="C84" s="30"/>
    </row>
    <row r="85" spans="3:3" x14ac:dyDescent="0.25">
      <c r="C85" s="30"/>
    </row>
    <row r="86" spans="3:3" x14ac:dyDescent="0.25">
      <c r="C86" s="30"/>
    </row>
    <row r="87" spans="3:3" x14ac:dyDescent="0.25">
      <c r="C87" s="30"/>
    </row>
    <row r="88" spans="3:3" x14ac:dyDescent="0.25">
      <c r="C88" s="30"/>
    </row>
    <row r="89" spans="3:3" x14ac:dyDescent="0.25">
      <c r="C89" s="30"/>
    </row>
    <row r="90" spans="3:3" x14ac:dyDescent="0.25">
      <c r="C90" s="30"/>
    </row>
    <row r="91" spans="3:3" x14ac:dyDescent="0.25">
      <c r="C91" s="30"/>
    </row>
    <row r="92" spans="3:3" x14ac:dyDescent="0.25">
      <c r="C92" s="30"/>
    </row>
    <row r="93" spans="3:3" x14ac:dyDescent="0.25">
      <c r="C93" s="30"/>
    </row>
    <row r="94" spans="3:3" x14ac:dyDescent="0.25">
      <c r="C94" s="30"/>
    </row>
    <row r="95" spans="3:3" x14ac:dyDescent="0.25">
      <c r="C95" s="30"/>
    </row>
    <row r="96" spans="3:3" x14ac:dyDescent="0.25">
      <c r="C96" s="30"/>
    </row>
    <row r="97" spans="3:3" x14ac:dyDescent="0.25">
      <c r="C97" s="30"/>
    </row>
    <row r="98" spans="3:3" x14ac:dyDescent="0.25">
      <c r="C98" s="30"/>
    </row>
    <row r="99" spans="3:3" x14ac:dyDescent="0.25">
      <c r="C99" s="30"/>
    </row>
    <row r="100" spans="3:3" x14ac:dyDescent="0.25">
      <c r="C100" s="30"/>
    </row>
    <row r="101" spans="3:3" x14ac:dyDescent="0.25">
      <c r="C101" s="30"/>
    </row>
    <row r="102" spans="3:3" x14ac:dyDescent="0.25">
      <c r="C102" s="30"/>
    </row>
    <row r="103" spans="3:3" x14ac:dyDescent="0.25">
      <c r="C103" s="30"/>
    </row>
    <row r="104" spans="3:3" x14ac:dyDescent="0.25">
      <c r="C104" s="30"/>
    </row>
    <row r="105" spans="3:3" x14ac:dyDescent="0.25">
      <c r="C105" s="30"/>
    </row>
    <row r="106" spans="3:3" x14ac:dyDescent="0.25">
      <c r="C106" s="30"/>
    </row>
    <row r="107" spans="3:3" x14ac:dyDescent="0.25">
      <c r="C107" s="30"/>
    </row>
    <row r="108" spans="3:3" x14ac:dyDescent="0.25">
      <c r="C108" s="30"/>
    </row>
    <row r="109" spans="3:3" x14ac:dyDescent="0.25">
      <c r="C109" s="30"/>
    </row>
    <row r="110" spans="3:3" x14ac:dyDescent="0.25">
      <c r="C110" s="30"/>
    </row>
    <row r="111" spans="3:3" x14ac:dyDescent="0.25">
      <c r="C111" s="30"/>
    </row>
    <row r="112" spans="3:3" x14ac:dyDescent="0.25">
      <c r="C112" s="30"/>
    </row>
    <row r="113" spans="3:3" x14ac:dyDescent="0.25">
      <c r="C113" s="30"/>
    </row>
    <row r="114" spans="3:3" x14ac:dyDescent="0.25">
      <c r="C114" s="30"/>
    </row>
    <row r="115" spans="3:3" x14ac:dyDescent="0.25">
      <c r="C115" s="30"/>
    </row>
    <row r="116" spans="3:3" x14ac:dyDescent="0.25">
      <c r="C116" s="30"/>
    </row>
    <row r="117" spans="3:3" x14ac:dyDescent="0.25">
      <c r="C117" s="30"/>
    </row>
    <row r="118" spans="3:3" x14ac:dyDescent="0.25">
      <c r="C118" s="30"/>
    </row>
    <row r="119" spans="3:3" x14ac:dyDescent="0.25">
      <c r="C119" s="30"/>
    </row>
    <row r="120" spans="3:3" x14ac:dyDescent="0.25">
      <c r="C120" s="30"/>
    </row>
    <row r="121" spans="3:3" x14ac:dyDescent="0.25">
      <c r="C121" s="30"/>
    </row>
    <row r="122" spans="3:3" x14ac:dyDescent="0.25">
      <c r="C122" s="30"/>
    </row>
    <row r="123" spans="3:3" x14ac:dyDescent="0.25">
      <c r="C123" s="30"/>
    </row>
    <row r="124" spans="3:3" x14ac:dyDescent="0.25">
      <c r="C124" s="30"/>
    </row>
    <row r="125" spans="3:3" x14ac:dyDescent="0.25">
      <c r="C125" s="30"/>
    </row>
    <row r="126" spans="3:3" x14ac:dyDescent="0.25">
      <c r="C126" s="30"/>
    </row>
    <row r="127" spans="3:3" x14ac:dyDescent="0.25">
      <c r="C127" s="30"/>
    </row>
    <row r="128" spans="3:3" x14ac:dyDescent="0.25">
      <c r="C128" s="30"/>
    </row>
    <row r="129" spans="3:3" x14ac:dyDescent="0.25">
      <c r="C129" s="30"/>
    </row>
    <row r="130" spans="3:3" x14ac:dyDescent="0.25">
      <c r="C130" s="30"/>
    </row>
    <row r="131" spans="3:3" x14ac:dyDescent="0.25">
      <c r="C131" s="30"/>
    </row>
    <row r="132" spans="3:3" x14ac:dyDescent="0.25">
      <c r="C132" s="30"/>
    </row>
    <row r="133" spans="3:3" x14ac:dyDescent="0.25">
      <c r="C133" s="30"/>
    </row>
    <row r="134" spans="3:3" x14ac:dyDescent="0.25">
      <c r="C134" s="30"/>
    </row>
    <row r="135" spans="3:3" x14ac:dyDescent="0.25">
      <c r="C135" s="30"/>
    </row>
    <row r="136" spans="3:3" x14ac:dyDescent="0.25">
      <c r="C136" s="30"/>
    </row>
    <row r="137" spans="3:3" x14ac:dyDescent="0.25">
      <c r="C137" s="30"/>
    </row>
    <row r="138" spans="3:3" x14ac:dyDescent="0.25">
      <c r="C138" s="30"/>
    </row>
    <row r="139" spans="3:3" x14ac:dyDescent="0.25">
      <c r="C139" s="30"/>
    </row>
    <row r="140" spans="3:3" x14ac:dyDescent="0.25">
      <c r="C140" s="30"/>
    </row>
    <row r="141" spans="3:3" x14ac:dyDescent="0.25">
      <c r="C141" s="30"/>
    </row>
    <row r="142" spans="3:3" x14ac:dyDescent="0.25">
      <c r="C142" s="30"/>
    </row>
    <row r="143" spans="3:3" x14ac:dyDescent="0.25">
      <c r="C143" s="30"/>
    </row>
    <row r="144" spans="3:3" x14ac:dyDescent="0.25">
      <c r="C144" s="30"/>
    </row>
    <row r="145" spans="3:3" x14ac:dyDescent="0.25">
      <c r="C145" s="30"/>
    </row>
    <row r="146" spans="3:3" x14ac:dyDescent="0.25">
      <c r="C146" s="30"/>
    </row>
    <row r="147" spans="3:3" x14ac:dyDescent="0.25">
      <c r="C147" s="30"/>
    </row>
    <row r="148" spans="3:3" x14ac:dyDescent="0.25">
      <c r="C148" s="30"/>
    </row>
    <row r="149" spans="3:3" x14ac:dyDescent="0.25">
      <c r="C149" s="30"/>
    </row>
    <row r="150" spans="3:3" x14ac:dyDescent="0.25">
      <c r="C150" s="30"/>
    </row>
    <row r="151" spans="3:3" x14ac:dyDescent="0.25">
      <c r="C151" s="30"/>
    </row>
    <row r="152" spans="3:3" x14ac:dyDescent="0.25">
      <c r="C152" s="30"/>
    </row>
    <row r="153" spans="3:3" x14ac:dyDescent="0.25">
      <c r="C153" s="30"/>
    </row>
    <row r="154" spans="3:3" x14ac:dyDescent="0.25">
      <c r="C154" s="30"/>
    </row>
    <row r="155" spans="3:3" x14ac:dyDescent="0.25">
      <c r="C155" s="30"/>
    </row>
    <row r="156" spans="3:3" x14ac:dyDescent="0.25">
      <c r="C156" s="30"/>
    </row>
    <row r="157" spans="3:3" x14ac:dyDescent="0.25">
      <c r="C157" s="30"/>
    </row>
    <row r="158" spans="3:3" x14ac:dyDescent="0.25">
      <c r="C158" s="30"/>
    </row>
    <row r="159" spans="3:3" x14ac:dyDescent="0.25">
      <c r="C159" s="30"/>
    </row>
    <row r="160" spans="3:3" x14ac:dyDescent="0.25">
      <c r="C160" s="30"/>
    </row>
    <row r="161" spans="3:3" x14ac:dyDescent="0.25">
      <c r="C161" s="30"/>
    </row>
    <row r="162" spans="3:3" x14ac:dyDescent="0.25">
      <c r="C162" s="30"/>
    </row>
    <row r="163" spans="3:3" x14ac:dyDescent="0.25">
      <c r="C163" s="30"/>
    </row>
    <row r="164" spans="3:3" x14ac:dyDescent="0.25">
      <c r="C164" s="30"/>
    </row>
    <row r="165" spans="3:3" x14ac:dyDescent="0.25">
      <c r="C165" s="30"/>
    </row>
    <row r="166" spans="3:3" x14ac:dyDescent="0.25">
      <c r="C166" s="30"/>
    </row>
    <row r="167" spans="3:3" x14ac:dyDescent="0.25">
      <c r="C167" s="30"/>
    </row>
    <row r="168" spans="3:3" x14ac:dyDescent="0.25">
      <c r="C168" s="30"/>
    </row>
    <row r="169" spans="3:3" x14ac:dyDescent="0.25">
      <c r="C169" s="30"/>
    </row>
    <row r="170" spans="3:3" x14ac:dyDescent="0.25">
      <c r="C170" s="30"/>
    </row>
    <row r="171" spans="3:3" x14ac:dyDescent="0.25">
      <c r="C171" s="30"/>
    </row>
    <row r="172" spans="3:3" x14ac:dyDescent="0.25">
      <c r="C172" s="30"/>
    </row>
    <row r="173" spans="3:3" x14ac:dyDescent="0.25">
      <c r="C173" s="30"/>
    </row>
    <row r="174" spans="3:3" x14ac:dyDescent="0.25">
      <c r="C174" s="30"/>
    </row>
    <row r="175" spans="3:3" x14ac:dyDescent="0.25">
      <c r="C175" s="30"/>
    </row>
    <row r="176" spans="3:3" x14ac:dyDescent="0.25">
      <c r="C176" s="30"/>
    </row>
    <row r="177" spans="3:3" x14ac:dyDescent="0.25">
      <c r="C177" s="30"/>
    </row>
    <row r="178" spans="3:3" x14ac:dyDescent="0.25">
      <c r="C178" s="30"/>
    </row>
    <row r="179" spans="3:3" x14ac:dyDescent="0.25">
      <c r="C179" s="30"/>
    </row>
    <row r="180" spans="3:3" x14ac:dyDescent="0.25">
      <c r="C180" s="30"/>
    </row>
    <row r="181" spans="3:3" x14ac:dyDescent="0.25">
      <c r="C181" s="30"/>
    </row>
    <row r="182" spans="3:3" x14ac:dyDescent="0.25">
      <c r="C182" s="30"/>
    </row>
    <row r="183" spans="3:3" x14ac:dyDescent="0.25">
      <c r="C183" s="30"/>
    </row>
    <row r="184" spans="3:3" x14ac:dyDescent="0.25">
      <c r="C184" s="30"/>
    </row>
    <row r="185" spans="3:3" x14ac:dyDescent="0.25">
      <c r="C185" s="30"/>
    </row>
    <row r="186" spans="3:3" x14ac:dyDescent="0.25">
      <c r="C186" s="30"/>
    </row>
    <row r="187" spans="3:3" x14ac:dyDescent="0.25">
      <c r="C187" s="30"/>
    </row>
    <row r="188" spans="3:3" x14ac:dyDescent="0.25">
      <c r="C188" s="30"/>
    </row>
    <row r="189" spans="3:3" x14ac:dyDescent="0.25">
      <c r="C189" s="30"/>
    </row>
    <row r="190" spans="3:3" x14ac:dyDescent="0.25">
      <c r="C190" s="30"/>
    </row>
    <row r="191" spans="3:3" x14ac:dyDescent="0.25">
      <c r="C191" s="30"/>
    </row>
    <row r="192" spans="3:3" x14ac:dyDescent="0.25">
      <c r="C192" s="30"/>
    </row>
    <row r="193" spans="3:3" x14ac:dyDescent="0.25">
      <c r="C193" s="30"/>
    </row>
    <row r="194" spans="3:3" x14ac:dyDescent="0.25">
      <c r="C194" s="30"/>
    </row>
    <row r="195" spans="3:3" x14ac:dyDescent="0.25">
      <c r="C195" s="30"/>
    </row>
    <row r="196" spans="3:3" x14ac:dyDescent="0.25">
      <c r="C196" s="30"/>
    </row>
    <row r="197" spans="3:3" x14ac:dyDescent="0.25">
      <c r="C197" s="30"/>
    </row>
    <row r="198" spans="3:3" x14ac:dyDescent="0.25">
      <c r="C198" s="30"/>
    </row>
    <row r="199" spans="3:3" x14ac:dyDescent="0.25">
      <c r="C199" s="30"/>
    </row>
    <row r="200" spans="3:3" x14ac:dyDescent="0.25">
      <c r="C200" s="30"/>
    </row>
    <row r="201" spans="3:3" x14ac:dyDescent="0.25">
      <c r="C201" s="30"/>
    </row>
    <row r="202" spans="3:3" x14ac:dyDescent="0.25">
      <c r="C202" s="30"/>
    </row>
    <row r="203" spans="3:3" x14ac:dyDescent="0.25">
      <c r="C203" s="30"/>
    </row>
    <row r="204" spans="3:3" x14ac:dyDescent="0.25">
      <c r="C204" s="30"/>
    </row>
    <row r="205" spans="3:3" x14ac:dyDescent="0.25">
      <c r="C205" s="30"/>
    </row>
    <row r="206" spans="3:3" x14ac:dyDescent="0.25">
      <c r="C206" s="30"/>
    </row>
    <row r="207" spans="3:3" x14ac:dyDescent="0.25">
      <c r="C207" s="30"/>
    </row>
    <row r="208" spans="3:3" x14ac:dyDescent="0.25">
      <c r="C208" s="30"/>
    </row>
    <row r="209" spans="3:3" x14ac:dyDescent="0.25">
      <c r="C209" s="30"/>
    </row>
    <row r="210" spans="3:3" x14ac:dyDescent="0.25">
      <c r="C210" s="30"/>
    </row>
    <row r="211" spans="3:3" x14ac:dyDescent="0.25">
      <c r="C211" s="30"/>
    </row>
    <row r="212" spans="3:3" x14ac:dyDescent="0.25">
      <c r="C212" s="30"/>
    </row>
    <row r="213" spans="3:3" x14ac:dyDescent="0.25">
      <c r="C213" s="30"/>
    </row>
    <row r="214" spans="3:3" x14ac:dyDescent="0.25">
      <c r="C214" s="30"/>
    </row>
    <row r="215" spans="3:3" x14ac:dyDescent="0.25">
      <c r="C215" s="30"/>
    </row>
    <row r="216" spans="3:3" x14ac:dyDescent="0.25">
      <c r="C216" s="30"/>
    </row>
    <row r="217" spans="3:3" x14ac:dyDescent="0.25">
      <c r="C217" s="30"/>
    </row>
    <row r="218" spans="3:3" x14ac:dyDescent="0.25">
      <c r="C218" s="30"/>
    </row>
    <row r="219" spans="3:3" x14ac:dyDescent="0.25">
      <c r="C219" s="30"/>
    </row>
    <row r="220" spans="3:3" x14ac:dyDescent="0.25">
      <c r="C220" s="30"/>
    </row>
    <row r="221" spans="3:3" x14ac:dyDescent="0.25">
      <c r="C221" s="30"/>
    </row>
    <row r="222" spans="3:3" x14ac:dyDescent="0.25">
      <c r="C222" s="30"/>
    </row>
    <row r="223" spans="3:3" x14ac:dyDescent="0.25">
      <c r="C223" s="30"/>
    </row>
    <row r="224" spans="3:3" x14ac:dyDescent="0.25">
      <c r="C224" s="30"/>
    </row>
    <row r="225" spans="3:3" x14ac:dyDescent="0.25">
      <c r="C225" s="30"/>
    </row>
    <row r="226" spans="3:3" x14ac:dyDescent="0.25">
      <c r="C226" s="30"/>
    </row>
    <row r="227" spans="3:3" x14ac:dyDescent="0.25">
      <c r="C227" s="30"/>
    </row>
    <row r="228" spans="3:3" x14ac:dyDescent="0.25">
      <c r="C228" s="30"/>
    </row>
    <row r="229" spans="3:3" x14ac:dyDescent="0.25">
      <c r="C229" s="30"/>
    </row>
    <row r="230" spans="3:3" x14ac:dyDescent="0.25">
      <c r="C230" s="30"/>
    </row>
    <row r="231" spans="3:3" x14ac:dyDescent="0.25">
      <c r="C231" s="30"/>
    </row>
    <row r="232" spans="3:3" x14ac:dyDescent="0.25">
      <c r="C232" s="30"/>
    </row>
    <row r="233" spans="3:3" x14ac:dyDescent="0.25">
      <c r="C233" s="30"/>
    </row>
    <row r="234" spans="3:3" x14ac:dyDescent="0.25">
      <c r="C234" s="30"/>
    </row>
    <row r="235" spans="3:3" x14ac:dyDescent="0.25">
      <c r="C235" s="30"/>
    </row>
    <row r="236" spans="3:3" x14ac:dyDescent="0.25">
      <c r="C236" s="30"/>
    </row>
    <row r="237" spans="3:3" x14ac:dyDescent="0.25">
      <c r="C237" s="30"/>
    </row>
    <row r="238" spans="3:3" x14ac:dyDescent="0.25">
      <c r="C238" s="31"/>
    </row>
    <row r="239" spans="3:3" x14ac:dyDescent="0.25">
      <c r="C239" s="30"/>
    </row>
    <row r="240" spans="3:3" x14ac:dyDescent="0.25">
      <c r="C240" s="30"/>
    </row>
    <row r="241" spans="3:3" x14ac:dyDescent="0.25">
      <c r="C241" s="30"/>
    </row>
    <row r="242" spans="3:3" x14ac:dyDescent="0.25">
      <c r="C242" s="30"/>
    </row>
    <row r="243" spans="3:3" x14ac:dyDescent="0.25">
      <c r="C243" s="30"/>
    </row>
    <row r="244" spans="3:3" x14ac:dyDescent="0.25">
      <c r="C244" s="30"/>
    </row>
    <row r="245" spans="3:3" x14ac:dyDescent="0.25">
      <c r="C245" s="30"/>
    </row>
    <row r="246" spans="3:3" x14ac:dyDescent="0.25">
      <c r="C246" s="30"/>
    </row>
    <row r="247" spans="3:3" x14ac:dyDescent="0.25">
      <c r="C247" s="30"/>
    </row>
    <row r="248" spans="3:3" x14ac:dyDescent="0.25">
      <c r="C248" s="30"/>
    </row>
    <row r="249" spans="3:3" x14ac:dyDescent="0.25">
      <c r="C249" s="30"/>
    </row>
    <row r="250" spans="3:3" x14ac:dyDescent="0.25">
      <c r="C250" s="30"/>
    </row>
    <row r="251" spans="3:3" x14ac:dyDescent="0.25">
      <c r="C251" s="30"/>
    </row>
    <row r="252" spans="3:3" x14ac:dyDescent="0.25">
      <c r="C252" s="30"/>
    </row>
    <row r="253" spans="3:3" x14ac:dyDescent="0.25">
      <c r="C253" s="30"/>
    </row>
    <row r="254" spans="3:3" x14ac:dyDescent="0.25">
      <c r="C254" s="30"/>
    </row>
    <row r="255" spans="3:3" x14ac:dyDescent="0.25">
      <c r="C255" s="30"/>
    </row>
    <row r="256" spans="3:3" x14ac:dyDescent="0.25">
      <c r="C256" s="30"/>
    </row>
    <row r="257" spans="3:3" x14ac:dyDescent="0.25">
      <c r="C257" s="30"/>
    </row>
    <row r="258" spans="3:3" x14ac:dyDescent="0.25">
      <c r="C258" s="30"/>
    </row>
    <row r="259" spans="3:3" x14ac:dyDescent="0.25">
      <c r="C259" s="30"/>
    </row>
    <row r="260" spans="3:3" x14ac:dyDescent="0.25">
      <c r="C260" s="30"/>
    </row>
    <row r="261" spans="3:3" x14ac:dyDescent="0.25">
      <c r="C261" s="30"/>
    </row>
    <row r="262" spans="3:3" x14ac:dyDescent="0.25">
      <c r="C262" s="30"/>
    </row>
    <row r="263" spans="3:3" x14ac:dyDescent="0.25">
      <c r="C263" s="30"/>
    </row>
    <row r="264" spans="3:3" x14ac:dyDescent="0.25">
      <c r="C264" s="30"/>
    </row>
    <row r="265" spans="3:3" x14ac:dyDescent="0.25">
      <c r="C265" s="30"/>
    </row>
    <row r="266" spans="3:3" x14ac:dyDescent="0.25">
      <c r="C266" s="30"/>
    </row>
    <row r="267" spans="3:3" x14ac:dyDescent="0.25">
      <c r="C267" s="30"/>
    </row>
    <row r="268" spans="3:3" x14ac:dyDescent="0.25">
      <c r="C268" s="30"/>
    </row>
    <row r="269" spans="3:3" x14ac:dyDescent="0.25">
      <c r="C269" s="30"/>
    </row>
    <row r="270" spans="3:3" x14ac:dyDescent="0.25">
      <c r="C270" s="30"/>
    </row>
    <row r="271" spans="3:3" x14ac:dyDescent="0.25">
      <c r="C271" s="30"/>
    </row>
    <row r="272" spans="3:3" x14ac:dyDescent="0.25">
      <c r="C272" s="30"/>
    </row>
    <row r="273" spans="3:3" x14ac:dyDescent="0.25">
      <c r="C273" s="30"/>
    </row>
    <row r="274" spans="3:3" x14ac:dyDescent="0.25">
      <c r="C274" s="30"/>
    </row>
    <row r="275" spans="3:3" x14ac:dyDescent="0.25">
      <c r="C275" s="30"/>
    </row>
    <row r="276" spans="3:3" x14ac:dyDescent="0.25">
      <c r="C276" s="30"/>
    </row>
    <row r="277" spans="3:3" x14ac:dyDescent="0.25">
      <c r="C277" s="30"/>
    </row>
    <row r="278" spans="3:3" x14ac:dyDescent="0.25">
      <c r="C278" s="30"/>
    </row>
    <row r="279" spans="3:3" x14ac:dyDescent="0.25">
      <c r="C279" s="30"/>
    </row>
    <row r="280" spans="3:3" x14ac:dyDescent="0.25">
      <c r="C280" s="30"/>
    </row>
    <row r="281" spans="3:3" x14ac:dyDescent="0.25">
      <c r="C281" s="30"/>
    </row>
    <row r="282" spans="3:3" x14ac:dyDescent="0.25">
      <c r="C282" s="30"/>
    </row>
    <row r="283" spans="3:3" x14ac:dyDescent="0.25">
      <c r="C283" s="30"/>
    </row>
    <row r="284" spans="3:3" x14ac:dyDescent="0.25">
      <c r="C284" s="30"/>
    </row>
    <row r="285" spans="3:3" x14ac:dyDescent="0.25">
      <c r="C285" s="30"/>
    </row>
    <row r="286" spans="3:3" x14ac:dyDescent="0.25">
      <c r="C286" s="30"/>
    </row>
    <row r="287" spans="3:3" x14ac:dyDescent="0.25">
      <c r="C287" s="30"/>
    </row>
    <row r="288" spans="3:3" x14ac:dyDescent="0.25">
      <c r="C288" s="30"/>
    </row>
    <row r="289" spans="3:3" x14ac:dyDescent="0.25">
      <c r="C289" s="30"/>
    </row>
    <row r="290" spans="3:3" x14ac:dyDescent="0.25">
      <c r="C290" s="30"/>
    </row>
    <row r="291" spans="3:3" x14ac:dyDescent="0.25">
      <c r="C291" s="30"/>
    </row>
    <row r="292" spans="3:3" x14ac:dyDescent="0.25">
      <c r="C292" s="30"/>
    </row>
    <row r="293" spans="3:3" x14ac:dyDescent="0.25">
      <c r="C293" s="30"/>
    </row>
    <row r="294" spans="3:3" x14ac:dyDescent="0.25">
      <c r="C294" s="30"/>
    </row>
    <row r="295" spans="3:3" x14ac:dyDescent="0.25">
      <c r="C295" s="30"/>
    </row>
    <row r="296" spans="3:3" x14ac:dyDescent="0.25">
      <c r="C296" s="30"/>
    </row>
    <row r="297" spans="3:3" x14ac:dyDescent="0.25">
      <c r="C297" s="30"/>
    </row>
    <row r="298" spans="3:3" x14ac:dyDescent="0.25">
      <c r="C298" s="30"/>
    </row>
    <row r="299" spans="3:3" x14ac:dyDescent="0.25">
      <c r="C299" s="30"/>
    </row>
    <row r="300" spans="3:3" x14ac:dyDescent="0.25">
      <c r="C300" s="30"/>
    </row>
    <row r="301" spans="3:3" x14ac:dyDescent="0.25">
      <c r="C301" s="30"/>
    </row>
    <row r="302" spans="3:3" x14ac:dyDescent="0.25">
      <c r="C302" s="30"/>
    </row>
    <row r="303" spans="3:3" x14ac:dyDescent="0.25">
      <c r="C303" s="30"/>
    </row>
    <row r="304" spans="3:3" x14ac:dyDescent="0.25">
      <c r="C304" s="30"/>
    </row>
    <row r="305" spans="3:3" x14ac:dyDescent="0.25">
      <c r="C305" s="30"/>
    </row>
    <row r="306" spans="3:3" x14ac:dyDescent="0.25">
      <c r="C306" s="30"/>
    </row>
    <row r="307" spans="3:3" x14ac:dyDescent="0.25">
      <c r="C307" s="30"/>
    </row>
    <row r="308" spans="3:3" x14ac:dyDescent="0.25">
      <c r="C308" s="30"/>
    </row>
    <row r="309" spans="3:3" x14ac:dyDescent="0.25">
      <c r="C309" s="30"/>
    </row>
    <row r="310" spans="3:3" x14ac:dyDescent="0.25">
      <c r="C310" s="30"/>
    </row>
    <row r="311" spans="3:3" x14ac:dyDescent="0.25">
      <c r="C311" s="30"/>
    </row>
    <row r="312" spans="3:3" x14ac:dyDescent="0.25">
      <c r="C312" s="30"/>
    </row>
    <row r="313" spans="3:3" x14ac:dyDescent="0.25">
      <c r="C313" s="30"/>
    </row>
    <row r="314" spans="3:3" x14ac:dyDescent="0.25">
      <c r="C314" s="30"/>
    </row>
    <row r="315" spans="3:3" x14ac:dyDescent="0.25">
      <c r="C315" s="30"/>
    </row>
    <row r="316" spans="3:3" x14ac:dyDescent="0.25">
      <c r="C316" s="30"/>
    </row>
    <row r="317" spans="3:3" x14ac:dyDescent="0.25">
      <c r="C317" s="30"/>
    </row>
    <row r="318" spans="3:3" x14ac:dyDescent="0.25">
      <c r="C318" s="30"/>
    </row>
    <row r="319" spans="3:3" x14ac:dyDescent="0.25">
      <c r="C319" s="30"/>
    </row>
    <row r="320" spans="3:3" x14ac:dyDescent="0.25">
      <c r="C320" s="30"/>
    </row>
    <row r="321" spans="3:3" x14ac:dyDescent="0.25">
      <c r="C321" s="30"/>
    </row>
    <row r="322" spans="3:3" x14ac:dyDescent="0.25">
      <c r="C322" s="30"/>
    </row>
    <row r="323" spans="3:3" x14ac:dyDescent="0.25">
      <c r="C323" s="30"/>
    </row>
    <row r="324" spans="3:3" x14ac:dyDescent="0.25">
      <c r="C324" s="30"/>
    </row>
    <row r="325" spans="3:3" x14ac:dyDescent="0.25">
      <c r="C325" s="30"/>
    </row>
    <row r="326" spans="3:3" x14ac:dyDescent="0.25">
      <c r="C326" s="30"/>
    </row>
    <row r="327" spans="3:3" x14ac:dyDescent="0.25">
      <c r="C327" s="30"/>
    </row>
    <row r="328" spans="3:3" x14ac:dyDescent="0.25">
      <c r="C328" s="30"/>
    </row>
    <row r="329" spans="3:3" x14ac:dyDescent="0.25">
      <c r="C329" s="30"/>
    </row>
    <row r="330" spans="3:3" x14ac:dyDescent="0.25">
      <c r="C330" s="30"/>
    </row>
    <row r="331" spans="3:3" x14ac:dyDescent="0.25">
      <c r="C331" s="30"/>
    </row>
    <row r="332" spans="3:3" x14ac:dyDescent="0.25">
      <c r="C332" s="30"/>
    </row>
    <row r="333" spans="3:3" x14ac:dyDescent="0.25">
      <c r="C333" s="30"/>
    </row>
    <row r="334" spans="3:3" x14ac:dyDescent="0.25">
      <c r="C334" s="30"/>
    </row>
    <row r="335" spans="3:3" x14ac:dyDescent="0.25">
      <c r="C335" s="30"/>
    </row>
    <row r="336" spans="3:3" x14ac:dyDescent="0.25">
      <c r="C336" s="30"/>
    </row>
    <row r="337" spans="3:3" x14ac:dyDescent="0.25">
      <c r="C337" s="30"/>
    </row>
    <row r="338" spans="3:3" x14ac:dyDescent="0.25">
      <c r="C338" s="30"/>
    </row>
    <row r="339" spans="3:3" x14ac:dyDescent="0.25">
      <c r="C339" s="30"/>
    </row>
    <row r="340" spans="3:3" x14ac:dyDescent="0.25">
      <c r="C340" s="30"/>
    </row>
    <row r="341" spans="3:3" x14ac:dyDescent="0.25">
      <c r="C341" s="30"/>
    </row>
    <row r="342" spans="3:3" x14ac:dyDescent="0.25">
      <c r="C342" s="30"/>
    </row>
    <row r="343" spans="3:3" x14ac:dyDescent="0.25">
      <c r="C343" s="30"/>
    </row>
    <row r="344" spans="3:3" x14ac:dyDescent="0.25">
      <c r="C344" s="30"/>
    </row>
    <row r="345" spans="3:3" x14ac:dyDescent="0.25">
      <c r="C345" s="30"/>
    </row>
    <row r="346" spans="3:3" x14ac:dyDescent="0.25">
      <c r="C346" s="30"/>
    </row>
    <row r="347" spans="3:3" x14ac:dyDescent="0.25">
      <c r="C347" s="30"/>
    </row>
    <row r="348" spans="3:3" x14ac:dyDescent="0.25">
      <c r="C348" s="30"/>
    </row>
    <row r="349" spans="3:3" x14ac:dyDescent="0.25">
      <c r="C349" s="30"/>
    </row>
    <row r="350" spans="3:3" x14ac:dyDescent="0.25">
      <c r="C350" s="30"/>
    </row>
    <row r="351" spans="3:3" x14ac:dyDescent="0.25">
      <c r="C351" s="30"/>
    </row>
    <row r="352" spans="3:3" x14ac:dyDescent="0.25">
      <c r="C352" s="30"/>
    </row>
    <row r="353" spans="3:3" x14ac:dyDescent="0.25">
      <c r="C353" s="30"/>
    </row>
    <row r="354" spans="3:3" x14ac:dyDescent="0.25">
      <c r="C354" s="30"/>
    </row>
    <row r="355" spans="3:3" x14ac:dyDescent="0.25">
      <c r="C355" s="30"/>
    </row>
    <row r="356" spans="3:3" x14ac:dyDescent="0.25">
      <c r="C356" s="30"/>
    </row>
    <row r="357" spans="3:3" x14ac:dyDescent="0.25">
      <c r="C357" s="30"/>
    </row>
    <row r="358" spans="3:3" x14ac:dyDescent="0.25">
      <c r="C358" s="30"/>
    </row>
    <row r="359" spans="3:3" x14ac:dyDescent="0.25">
      <c r="C359" s="30"/>
    </row>
    <row r="360" spans="3:3" x14ac:dyDescent="0.25">
      <c r="C360" s="30"/>
    </row>
    <row r="361" spans="3:3" x14ac:dyDescent="0.25">
      <c r="C361" s="30"/>
    </row>
    <row r="362" spans="3:3" x14ac:dyDescent="0.25">
      <c r="C362" s="30"/>
    </row>
    <row r="363" spans="3:3" x14ac:dyDescent="0.25">
      <c r="C363" s="30"/>
    </row>
    <row r="364" spans="3:3" x14ac:dyDescent="0.25">
      <c r="C364" s="30"/>
    </row>
    <row r="365" spans="3:3" x14ac:dyDescent="0.25">
      <c r="C365" s="30"/>
    </row>
    <row r="366" spans="3:3" x14ac:dyDescent="0.25">
      <c r="C366" s="30"/>
    </row>
    <row r="367" spans="3:3" x14ac:dyDescent="0.25">
      <c r="C367" s="30"/>
    </row>
    <row r="368" spans="3:3" x14ac:dyDescent="0.25">
      <c r="C368" s="30"/>
    </row>
    <row r="369" spans="3:3" x14ac:dyDescent="0.25">
      <c r="C369" s="30"/>
    </row>
    <row r="370" spans="3:3" x14ac:dyDescent="0.25">
      <c r="C370" s="30"/>
    </row>
    <row r="371" spans="3:3" x14ac:dyDescent="0.25">
      <c r="C371" s="30"/>
    </row>
    <row r="372" spans="3:3" x14ac:dyDescent="0.25">
      <c r="C372" s="30"/>
    </row>
    <row r="373" spans="3:3" x14ac:dyDescent="0.25">
      <c r="C373" s="30"/>
    </row>
    <row r="374" spans="3:3" x14ac:dyDescent="0.25">
      <c r="C374" s="30"/>
    </row>
    <row r="375" spans="3:3" x14ac:dyDescent="0.25">
      <c r="C375" s="30"/>
    </row>
    <row r="376" spans="3:3" x14ac:dyDescent="0.25">
      <c r="C376" s="30"/>
    </row>
    <row r="377" spans="3:3" x14ac:dyDescent="0.25">
      <c r="C377" s="30"/>
    </row>
    <row r="378" spans="3:3" x14ac:dyDescent="0.25">
      <c r="C378" s="30"/>
    </row>
    <row r="379" spans="3:3" x14ac:dyDescent="0.25">
      <c r="C379" s="30"/>
    </row>
    <row r="380" spans="3:3" x14ac:dyDescent="0.25">
      <c r="C380" s="30"/>
    </row>
    <row r="381" spans="3:3" x14ac:dyDescent="0.25">
      <c r="C381" s="30"/>
    </row>
    <row r="382" spans="3:3" x14ac:dyDescent="0.25">
      <c r="C382" s="30"/>
    </row>
    <row r="383" spans="3:3" x14ac:dyDescent="0.25">
      <c r="C383" s="30"/>
    </row>
    <row r="384" spans="3:3" x14ac:dyDescent="0.25">
      <c r="C384" s="30"/>
    </row>
    <row r="385" spans="3:3" x14ac:dyDescent="0.25">
      <c r="C385" s="30"/>
    </row>
    <row r="386" spans="3:3" x14ac:dyDescent="0.25">
      <c r="C386" s="30"/>
    </row>
    <row r="387" spans="3:3" x14ac:dyDescent="0.25">
      <c r="C387" s="30"/>
    </row>
    <row r="388" spans="3:3" x14ac:dyDescent="0.25">
      <c r="C388" s="30"/>
    </row>
    <row r="389" spans="3:3" x14ac:dyDescent="0.25">
      <c r="C389" s="30"/>
    </row>
    <row r="390" spans="3:3" x14ac:dyDescent="0.25">
      <c r="C390" s="30"/>
    </row>
    <row r="391" spans="3:3" x14ac:dyDescent="0.25">
      <c r="C391" s="30"/>
    </row>
    <row r="392" spans="3:3" x14ac:dyDescent="0.25">
      <c r="C392" s="30"/>
    </row>
    <row r="393" spans="3:3" x14ac:dyDescent="0.25">
      <c r="C393" s="30"/>
    </row>
    <row r="394" spans="3:3" x14ac:dyDescent="0.25">
      <c r="C394" s="30"/>
    </row>
    <row r="395" spans="3:3" x14ac:dyDescent="0.25">
      <c r="C395" s="30"/>
    </row>
    <row r="396" spans="3:3" x14ac:dyDescent="0.25">
      <c r="C396" s="30"/>
    </row>
    <row r="397" spans="3:3" x14ac:dyDescent="0.25">
      <c r="C397" s="30"/>
    </row>
    <row r="398" spans="3:3" x14ac:dyDescent="0.25">
      <c r="C398" s="30"/>
    </row>
    <row r="399" spans="3:3" x14ac:dyDescent="0.25">
      <c r="C399" s="30"/>
    </row>
    <row r="400" spans="3:3" x14ac:dyDescent="0.25">
      <c r="C400" s="30"/>
    </row>
    <row r="401" spans="3:3" x14ac:dyDescent="0.25">
      <c r="C401" s="30"/>
    </row>
    <row r="402" spans="3:3" x14ac:dyDescent="0.25">
      <c r="C402" s="30"/>
    </row>
    <row r="403" spans="3:3" x14ac:dyDescent="0.25">
      <c r="C403" s="30"/>
    </row>
    <row r="404" spans="3:3" x14ac:dyDescent="0.25">
      <c r="C404" s="30"/>
    </row>
    <row r="405" spans="3:3" x14ac:dyDescent="0.25">
      <c r="C405" s="30"/>
    </row>
    <row r="406" spans="3:3" x14ac:dyDescent="0.25">
      <c r="C406" s="30"/>
    </row>
    <row r="407" spans="3:3" x14ac:dyDescent="0.25">
      <c r="C407" s="30"/>
    </row>
    <row r="408" spans="3:3" x14ac:dyDescent="0.25">
      <c r="C408" s="30"/>
    </row>
    <row r="409" spans="3:3" x14ac:dyDescent="0.25">
      <c r="C409" s="30"/>
    </row>
    <row r="410" spans="3:3" x14ac:dyDescent="0.25">
      <c r="C410" s="30"/>
    </row>
    <row r="411" spans="3:3" x14ac:dyDescent="0.25">
      <c r="C411" s="30"/>
    </row>
    <row r="412" spans="3:3" x14ac:dyDescent="0.25">
      <c r="C412" s="30"/>
    </row>
    <row r="413" spans="3:3" x14ac:dyDescent="0.25">
      <c r="C413" s="30"/>
    </row>
    <row r="414" spans="3:3" x14ac:dyDescent="0.25">
      <c r="C414" s="30"/>
    </row>
    <row r="415" spans="3:3" x14ac:dyDescent="0.25">
      <c r="C415" s="30"/>
    </row>
    <row r="416" spans="3:3" x14ac:dyDescent="0.25">
      <c r="C416" s="30"/>
    </row>
    <row r="417" spans="3:3" x14ac:dyDescent="0.25">
      <c r="C417" s="30"/>
    </row>
    <row r="418" spans="3:3" x14ac:dyDescent="0.25">
      <c r="C418" s="30"/>
    </row>
    <row r="419" spans="3:3" x14ac:dyDescent="0.25">
      <c r="C419" s="30"/>
    </row>
    <row r="420" spans="3:3" x14ac:dyDescent="0.25">
      <c r="C420" s="30"/>
    </row>
    <row r="421" spans="3:3" x14ac:dyDescent="0.25">
      <c r="C421" s="30"/>
    </row>
    <row r="422" spans="3:3" x14ac:dyDescent="0.25">
      <c r="C422" s="30"/>
    </row>
    <row r="423" spans="3:3" x14ac:dyDescent="0.25">
      <c r="C423" s="30"/>
    </row>
    <row r="424" spans="3:3" x14ac:dyDescent="0.25">
      <c r="C424" s="30"/>
    </row>
    <row r="425" spans="3:3" x14ac:dyDescent="0.25">
      <c r="C425" s="30"/>
    </row>
    <row r="426" spans="3:3" x14ac:dyDescent="0.25">
      <c r="C426" s="30"/>
    </row>
    <row r="427" spans="3:3" x14ac:dyDescent="0.25">
      <c r="C427" s="30"/>
    </row>
    <row r="428" spans="3:3" x14ac:dyDescent="0.25">
      <c r="C428" s="30"/>
    </row>
    <row r="429" spans="3:3" x14ac:dyDescent="0.25">
      <c r="C429" s="30"/>
    </row>
    <row r="430" spans="3:3" x14ac:dyDescent="0.25">
      <c r="C430" s="30"/>
    </row>
    <row r="431" spans="3:3" x14ac:dyDescent="0.25">
      <c r="C431" s="30"/>
    </row>
    <row r="432" spans="3:3" x14ac:dyDescent="0.25">
      <c r="C432" s="30"/>
    </row>
    <row r="433" spans="3:3" x14ac:dyDescent="0.25">
      <c r="C433" s="30"/>
    </row>
    <row r="434" spans="3:3" x14ac:dyDescent="0.25">
      <c r="C434" s="30"/>
    </row>
    <row r="435" spans="3:3" x14ac:dyDescent="0.25">
      <c r="C435" s="30"/>
    </row>
    <row r="436" spans="3:3" x14ac:dyDescent="0.25">
      <c r="C436" s="30"/>
    </row>
    <row r="437" spans="3:3" x14ac:dyDescent="0.25">
      <c r="C437" s="30"/>
    </row>
    <row r="438" spans="3:3" x14ac:dyDescent="0.25">
      <c r="C438" s="30"/>
    </row>
    <row r="439" spans="3:3" x14ac:dyDescent="0.25">
      <c r="C439" s="30"/>
    </row>
    <row r="440" spans="3:3" x14ac:dyDescent="0.25">
      <c r="C440" s="30"/>
    </row>
    <row r="441" spans="3:3" x14ac:dyDescent="0.25">
      <c r="C441" s="30"/>
    </row>
    <row r="442" spans="3:3" x14ac:dyDescent="0.25">
      <c r="C442" s="30"/>
    </row>
    <row r="443" spans="3:3" x14ac:dyDescent="0.25">
      <c r="C443" s="30"/>
    </row>
    <row r="444" spans="3:3" x14ac:dyDescent="0.25">
      <c r="C444" s="30"/>
    </row>
    <row r="445" spans="3:3" x14ac:dyDescent="0.25">
      <c r="C445" s="30"/>
    </row>
    <row r="446" spans="3:3" x14ac:dyDescent="0.25">
      <c r="C446" s="30"/>
    </row>
    <row r="447" spans="3:3" x14ac:dyDescent="0.25">
      <c r="C447" s="30"/>
    </row>
    <row r="448" spans="3:3" x14ac:dyDescent="0.25">
      <c r="C448" s="30"/>
    </row>
    <row r="449" spans="3:3" x14ac:dyDescent="0.25">
      <c r="C449" s="30"/>
    </row>
    <row r="450" spans="3:3" x14ac:dyDescent="0.25">
      <c r="C450" s="30"/>
    </row>
    <row r="451" spans="3:3" x14ac:dyDescent="0.25">
      <c r="C451" s="30"/>
    </row>
    <row r="452" spans="3:3" x14ac:dyDescent="0.25">
      <c r="C452" s="30"/>
    </row>
    <row r="453" spans="3:3" x14ac:dyDescent="0.25">
      <c r="C453" s="30"/>
    </row>
    <row r="454" spans="3:3" x14ac:dyDescent="0.25">
      <c r="C454" s="30"/>
    </row>
    <row r="455" spans="3:3" x14ac:dyDescent="0.25">
      <c r="C455" s="30"/>
    </row>
    <row r="456" spans="3:3" x14ac:dyDescent="0.25">
      <c r="C456" s="30"/>
    </row>
    <row r="457" spans="3:3" x14ac:dyDescent="0.25">
      <c r="C457" s="30"/>
    </row>
    <row r="458" spans="3:3" x14ac:dyDescent="0.25">
      <c r="C458" s="30"/>
    </row>
    <row r="459" spans="3:3" x14ac:dyDescent="0.25">
      <c r="C459" s="30"/>
    </row>
    <row r="460" spans="3:3" x14ac:dyDescent="0.25">
      <c r="C460" s="30"/>
    </row>
    <row r="461" spans="3:3" x14ac:dyDescent="0.25">
      <c r="C461" s="30"/>
    </row>
    <row r="462" spans="3:3" x14ac:dyDescent="0.25">
      <c r="C462" s="30"/>
    </row>
    <row r="463" spans="3:3" x14ac:dyDescent="0.25">
      <c r="C463" s="30"/>
    </row>
    <row r="464" spans="3:3" x14ac:dyDescent="0.25">
      <c r="C464" s="30"/>
    </row>
    <row r="465" spans="3:3" x14ac:dyDescent="0.25">
      <c r="C465" s="30"/>
    </row>
    <row r="466" spans="3:3" x14ac:dyDescent="0.25">
      <c r="C466" s="30"/>
    </row>
    <row r="467" spans="3:3" x14ac:dyDescent="0.25">
      <c r="C467" s="30"/>
    </row>
    <row r="468" spans="3:3" x14ac:dyDescent="0.25">
      <c r="C468" s="30"/>
    </row>
    <row r="469" spans="3:3" x14ac:dyDescent="0.25">
      <c r="C469" s="30"/>
    </row>
    <row r="470" spans="3:3" x14ac:dyDescent="0.25">
      <c r="C470" s="30"/>
    </row>
    <row r="471" spans="3:3" x14ac:dyDescent="0.25">
      <c r="C471" s="30"/>
    </row>
    <row r="472" spans="3:3" x14ac:dyDescent="0.25">
      <c r="C472" s="30"/>
    </row>
    <row r="473" spans="3:3" x14ac:dyDescent="0.25">
      <c r="C473" s="30"/>
    </row>
    <row r="474" spans="3:3" x14ac:dyDescent="0.25">
      <c r="C474" s="30"/>
    </row>
    <row r="475" spans="3:3" x14ac:dyDescent="0.25">
      <c r="C475" s="30"/>
    </row>
    <row r="476" spans="3:3" x14ac:dyDescent="0.25">
      <c r="C476" s="30"/>
    </row>
    <row r="477" spans="3:3" x14ac:dyDescent="0.25">
      <c r="C477" s="30"/>
    </row>
    <row r="478" spans="3:3" x14ac:dyDescent="0.25">
      <c r="C478" s="30"/>
    </row>
    <row r="479" spans="3:3" x14ac:dyDescent="0.25">
      <c r="C479" s="30"/>
    </row>
    <row r="480" spans="3:3" x14ac:dyDescent="0.25">
      <c r="C480" s="30"/>
    </row>
    <row r="481" spans="3:3" x14ac:dyDescent="0.25">
      <c r="C481" s="30"/>
    </row>
    <row r="482" spans="3:3" x14ac:dyDescent="0.25">
      <c r="C482" s="30"/>
    </row>
    <row r="483" spans="3:3" x14ac:dyDescent="0.25">
      <c r="C483" s="30"/>
    </row>
    <row r="484" spans="3:3" x14ac:dyDescent="0.25">
      <c r="C484" s="30"/>
    </row>
    <row r="485" spans="3:3" x14ac:dyDescent="0.25">
      <c r="C485" s="30"/>
    </row>
    <row r="486" spans="3:3" x14ac:dyDescent="0.25">
      <c r="C486" s="30"/>
    </row>
    <row r="487" spans="3:3" x14ac:dyDescent="0.25">
      <c r="C487" s="30"/>
    </row>
    <row r="488" spans="3:3" x14ac:dyDescent="0.25">
      <c r="C488" s="30"/>
    </row>
    <row r="489" spans="3:3" x14ac:dyDescent="0.25">
      <c r="C489" s="30"/>
    </row>
    <row r="490" spans="3:3" x14ac:dyDescent="0.25">
      <c r="C490" s="30"/>
    </row>
    <row r="491" spans="3:3" x14ac:dyDescent="0.25">
      <c r="C491" s="30"/>
    </row>
    <row r="492" spans="3:3" x14ac:dyDescent="0.25">
      <c r="C492" s="30"/>
    </row>
    <row r="493" spans="3:3" x14ac:dyDescent="0.25">
      <c r="C493" s="30"/>
    </row>
    <row r="494" spans="3:3" x14ac:dyDescent="0.25">
      <c r="C494" s="30"/>
    </row>
    <row r="495" spans="3:3" x14ac:dyDescent="0.25">
      <c r="C495" s="30"/>
    </row>
    <row r="496" spans="3:3" x14ac:dyDescent="0.25">
      <c r="C496" s="30"/>
    </row>
    <row r="497" spans="3:3" x14ac:dyDescent="0.25">
      <c r="C497" s="30"/>
    </row>
    <row r="498" spans="3:3" x14ac:dyDescent="0.25">
      <c r="C498" s="30"/>
    </row>
    <row r="499" spans="3:3" x14ac:dyDescent="0.25">
      <c r="C499" s="30"/>
    </row>
    <row r="500" spans="3:3" x14ac:dyDescent="0.25">
      <c r="C500" s="30"/>
    </row>
    <row r="501" spans="3:3" x14ac:dyDescent="0.25">
      <c r="C501" s="30"/>
    </row>
    <row r="502" spans="3:3" x14ac:dyDescent="0.25">
      <c r="C502" s="30"/>
    </row>
    <row r="503" spans="3:3" x14ac:dyDescent="0.25">
      <c r="C503" s="30"/>
    </row>
    <row r="504" spans="3:3" x14ac:dyDescent="0.25">
      <c r="C504" s="30"/>
    </row>
    <row r="505" spans="3:3" x14ac:dyDescent="0.25">
      <c r="C505" s="30"/>
    </row>
    <row r="506" spans="3:3" x14ac:dyDescent="0.25">
      <c r="C506" s="30"/>
    </row>
    <row r="507" spans="3:3" x14ac:dyDescent="0.25">
      <c r="C507" s="30"/>
    </row>
    <row r="508" spans="3:3" x14ac:dyDescent="0.25">
      <c r="C508" s="30"/>
    </row>
    <row r="509" spans="3:3" x14ac:dyDescent="0.25">
      <c r="C509" s="30"/>
    </row>
    <row r="510" spans="3:3" x14ac:dyDescent="0.25">
      <c r="C510" s="30"/>
    </row>
    <row r="511" spans="3:3" x14ac:dyDescent="0.25">
      <c r="C511" s="30"/>
    </row>
    <row r="512" spans="3:3" x14ac:dyDescent="0.25">
      <c r="C512" s="30"/>
    </row>
    <row r="513" spans="3:3" x14ac:dyDescent="0.25">
      <c r="C513" s="30"/>
    </row>
    <row r="514" spans="3:3" x14ac:dyDescent="0.25">
      <c r="C514" s="30"/>
    </row>
    <row r="515" spans="3:3" x14ac:dyDescent="0.25">
      <c r="C515" s="30"/>
    </row>
    <row r="516" spans="3:3" x14ac:dyDescent="0.25">
      <c r="C516" s="30"/>
    </row>
    <row r="517" spans="3:3" x14ac:dyDescent="0.25">
      <c r="C517" s="30"/>
    </row>
    <row r="518" spans="3:3" x14ac:dyDescent="0.25">
      <c r="C518" s="30"/>
    </row>
    <row r="519" spans="3:3" x14ac:dyDescent="0.25">
      <c r="C519" s="30"/>
    </row>
    <row r="520" spans="3:3" x14ac:dyDescent="0.25">
      <c r="C520" s="30"/>
    </row>
    <row r="521" spans="3:3" x14ac:dyDescent="0.25">
      <c r="C521" s="30"/>
    </row>
    <row r="522" spans="3:3" x14ac:dyDescent="0.25">
      <c r="C522" s="30"/>
    </row>
    <row r="523" spans="3:3" x14ac:dyDescent="0.25">
      <c r="C523" s="30"/>
    </row>
    <row r="524" spans="3:3" x14ac:dyDescent="0.25">
      <c r="C524" s="30"/>
    </row>
    <row r="525" spans="3:3" x14ac:dyDescent="0.25">
      <c r="C525" s="30"/>
    </row>
    <row r="526" spans="3:3" x14ac:dyDescent="0.25">
      <c r="C526" s="30"/>
    </row>
    <row r="527" spans="3:3" x14ac:dyDescent="0.25">
      <c r="C527" s="30"/>
    </row>
    <row r="528" spans="3:3" x14ac:dyDescent="0.25">
      <c r="C528" s="30"/>
    </row>
    <row r="529" spans="3:3" x14ac:dyDescent="0.25">
      <c r="C529" s="30"/>
    </row>
    <row r="530" spans="3:3" x14ac:dyDescent="0.25">
      <c r="C530" s="30"/>
    </row>
    <row r="531" spans="3:3" x14ac:dyDescent="0.25">
      <c r="C531" s="30"/>
    </row>
    <row r="532" spans="3:3" x14ac:dyDescent="0.25">
      <c r="C532" s="30"/>
    </row>
    <row r="533" spans="3:3" x14ac:dyDescent="0.25">
      <c r="C533" s="30"/>
    </row>
    <row r="534" spans="3:3" x14ac:dyDescent="0.25">
      <c r="C534" s="30"/>
    </row>
    <row r="535" spans="3:3" x14ac:dyDescent="0.25">
      <c r="C535" s="30"/>
    </row>
    <row r="536" spans="3:3" x14ac:dyDescent="0.25">
      <c r="C536" s="30"/>
    </row>
    <row r="537" spans="3:3" x14ac:dyDescent="0.25">
      <c r="C537" s="30"/>
    </row>
    <row r="538" spans="3:3" x14ac:dyDescent="0.25">
      <c r="C538" s="30"/>
    </row>
    <row r="539" spans="3:3" x14ac:dyDescent="0.25">
      <c r="C539" s="30"/>
    </row>
    <row r="540" spans="3:3" x14ac:dyDescent="0.25">
      <c r="C540" s="30"/>
    </row>
    <row r="541" spans="3:3" x14ac:dyDescent="0.25">
      <c r="C541" s="30"/>
    </row>
    <row r="542" spans="3:3" x14ac:dyDescent="0.25">
      <c r="C542" s="30"/>
    </row>
    <row r="543" spans="3:3" x14ac:dyDescent="0.25">
      <c r="C543" s="30"/>
    </row>
    <row r="544" spans="3:3" x14ac:dyDescent="0.25">
      <c r="C544" s="30"/>
    </row>
    <row r="545" spans="3:3" x14ac:dyDescent="0.25">
      <c r="C545" s="30"/>
    </row>
    <row r="546" spans="3:3" x14ac:dyDescent="0.25">
      <c r="C546" s="30"/>
    </row>
    <row r="547" spans="3:3" x14ac:dyDescent="0.25">
      <c r="C547" s="30"/>
    </row>
    <row r="548" spans="3:3" x14ac:dyDescent="0.25">
      <c r="C548" s="30"/>
    </row>
    <row r="549" spans="3:3" x14ac:dyDescent="0.25">
      <c r="C549" s="30"/>
    </row>
    <row r="550" spans="3:3" x14ac:dyDescent="0.25">
      <c r="C550" s="30"/>
    </row>
    <row r="551" spans="3:3" x14ac:dyDescent="0.25">
      <c r="C551" s="30"/>
    </row>
    <row r="552" spans="3:3" x14ac:dyDescent="0.25">
      <c r="C552" s="30"/>
    </row>
    <row r="553" spans="3:3" x14ac:dyDescent="0.25">
      <c r="C553" s="30"/>
    </row>
    <row r="554" spans="3:3" x14ac:dyDescent="0.25">
      <c r="C554" s="30"/>
    </row>
    <row r="555" spans="3:3" x14ac:dyDescent="0.25">
      <c r="C555" s="30"/>
    </row>
    <row r="556" spans="3:3" x14ac:dyDescent="0.25">
      <c r="C556" s="30"/>
    </row>
    <row r="557" spans="3:3" x14ac:dyDescent="0.25">
      <c r="C557" s="30"/>
    </row>
    <row r="558" spans="3:3" x14ac:dyDescent="0.25">
      <c r="C558" s="30"/>
    </row>
    <row r="559" spans="3:3" x14ac:dyDescent="0.25">
      <c r="C559" s="30"/>
    </row>
    <row r="560" spans="3:3" x14ac:dyDescent="0.25">
      <c r="C560" s="30"/>
    </row>
    <row r="561" spans="3:3" x14ac:dyDescent="0.25">
      <c r="C561" s="30"/>
    </row>
    <row r="562" spans="3:3" x14ac:dyDescent="0.25">
      <c r="C562" s="30"/>
    </row>
    <row r="563" spans="3:3" x14ac:dyDescent="0.25">
      <c r="C563" s="30"/>
    </row>
    <row r="564" spans="3:3" x14ac:dyDescent="0.25">
      <c r="C564" s="30"/>
    </row>
    <row r="565" spans="3:3" x14ac:dyDescent="0.25">
      <c r="C565" s="30"/>
    </row>
    <row r="566" spans="3:3" x14ac:dyDescent="0.25">
      <c r="C566" s="30"/>
    </row>
    <row r="567" spans="3:3" x14ac:dyDescent="0.25">
      <c r="C567" s="30"/>
    </row>
    <row r="568" spans="3:3" x14ac:dyDescent="0.25">
      <c r="C568" s="30"/>
    </row>
    <row r="569" spans="3:3" x14ac:dyDescent="0.25">
      <c r="C569" s="30"/>
    </row>
    <row r="570" spans="3:3" x14ac:dyDescent="0.25">
      <c r="C570" s="30"/>
    </row>
    <row r="571" spans="3:3" x14ac:dyDescent="0.25">
      <c r="C571" s="30"/>
    </row>
    <row r="572" spans="3:3" x14ac:dyDescent="0.25">
      <c r="C572" s="30"/>
    </row>
    <row r="573" spans="3:3" x14ac:dyDescent="0.25">
      <c r="C573" s="30"/>
    </row>
    <row r="574" spans="3:3" x14ac:dyDescent="0.25">
      <c r="C574" s="30"/>
    </row>
    <row r="575" spans="3:3" x14ac:dyDescent="0.25">
      <c r="C575" s="30"/>
    </row>
    <row r="576" spans="3:3" x14ac:dyDescent="0.25">
      <c r="C576" s="30"/>
    </row>
    <row r="577" spans="3:3" x14ac:dyDescent="0.25">
      <c r="C577" s="30"/>
    </row>
    <row r="578" spans="3:3" x14ac:dyDescent="0.25">
      <c r="C578" s="30"/>
    </row>
    <row r="579" spans="3:3" x14ac:dyDescent="0.25">
      <c r="C579" s="30"/>
    </row>
    <row r="580" spans="3:3" x14ac:dyDescent="0.25">
      <c r="C580" s="30"/>
    </row>
    <row r="581" spans="3:3" x14ac:dyDescent="0.25">
      <c r="C581" s="30"/>
    </row>
    <row r="582" spans="3:3" x14ac:dyDescent="0.25">
      <c r="C582" s="30"/>
    </row>
    <row r="583" spans="3:3" x14ac:dyDescent="0.25">
      <c r="C583" s="30"/>
    </row>
    <row r="584" spans="3:3" x14ac:dyDescent="0.25">
      <c r="C584" s="30"/>
    </row>
    <row r="585" spans="3:3" x14ac:dyDescent="0.25">
      <c r="C585" s="30"/>
    </row>
    <row r="586" spans="3:3" x14ac:dyDescent="0.25">
      <c r="C586" s="30"/>
    </row>
    <row r="587" spans="3:3" x14ac:dyDescent="0.25">
      <c r="C587" s="30"/>
    </row>
    <row r="588" spans="3:3" x14ac:dyDescent="0.25">
      <c r="C588" s="30"/>
    </row>
    <row r="589" spans="3:3" x14ac:dyDescent="0.25">
      <c r="C589" s="30"/>
    </row>
    <row r="590" spans="3:3" x14ac:dyDescent="0.25">
      <c r="C590" s="30"/>
    </row>
    <row r="591" spans="3:3" x14ac:dyDescent="0.25">
      <c r="C591" s="30"/>
    </row>
    <row r="592" spans="3:3" x14ac:dyDescent="0.25">
      <c r="C592" s="30"/>
    </row>
    <row r="593" spans="3:3" x14ac:dyDescent="0.25">
      <c r="C593" s="30"/>
    </row>
    <row r="594" spans="3:3" x14ac:dyDescent="0.25">
      <c r="C594" s="30"/>
    </row>
    <row r="595" spans="3:3" x14ac:dyDescent="0.25">
      <c r="C595" s="30"/>
    </row>
    <row r="596" spans="3:3" x14ac:dyDescent="0.25">
      <c r="C596" s="30"/>
    </row>
    <row r="597" spans="3:3" x14ac:dyDescent="0.25">
      <c r="C597" s="30"/>
    </row>
    <row r="598" spans="3:3" x14ac:dyDescent="0.25">
      <c r="C598" s="30"/>
    </row>
    <row r="599" spans="3:3" x14ac:dyDescent="0.25">
      <c r="C599" s="30"/>
    </row>
    <row r="600" spans="3:3" x14ac:dyDescent="0.25">
      <c r="C600" s="30"/>
    </row>
    <row r="601" spans="3:3" x14ac:dyDescent="0.25">
      <c r="C601" s="30"/>
    </row>
    <row r="602" spans="3:3" x14ac:dyDescent="0.25">
      <c r="C602" s="30"/>
    </row>
    <row r="603" spans="3:3" x14ac:dyDescent="0.25">
      <c r="C603" s="30"/>
    </row>
    <row r="604" spans="3:3" x14ac:dyDescent="0.25">
      <c r="C604" s="30"/>
    </row>
    <row r="605" spans="3:3" x14ac:dyDescent="0.25">
      <c r="C605" s="30"/>
    </row>
    <row r="606" spans="3:3" x14ac:dyDescent="0.25">
      <c r="C606" s="30"/>
    </row>
    <row r="607" spans="3:3" x14ac:dyDescent="0.25">
      <c r="C607" s="30"/>
    </row>
    <row r="608" spans="3:3" x14ac:dyDescent="0.25">
      <c r="C608" s="30"/>
    </row>
    <row r="609" spans="3:3" x14ac:dyDescent="0.25">
      <c r="C609" s="30"/>
    </row>
    <row r="610" spans="3:3" x14ac:dyDescent="0.25">
      <c r="C610" s="30"/>
    </row>
    <row r="611" spans="3:3" x14ac:dyDescent="0.25">
      <c r="C611" s="30"/>
    </row>
    <row r="612" spans="3:3" x14ac:dyDescent="0.25">
      <c r="C612" s="30"/>
    </row>
    <row r="613" spans="3:3" x14ac:dyDescent="0.25">
      <c r="C613" s="30"/>
    </row>
    <row r="614" spans="3:3" x14ac:dyDescent="0.25">
      <c r="C614" s="30"/>
    </row>
    <row r="615" spans="3:3" x14ac:dyDescent="0.25">
      <c r="C615" s="30"/>
    </row>
    <row r="616" spans="3:3" x14ac:dyDescent="0.25">
      <c r="C616" s="30"/>
    </row>
    <row r="617" spans="3:3" x14ac:dyDescent="0.25">
      <c r="C617" s="30"/>
    </row>
    <row r="618" spans="3:3" x14ac:dyDescent="0.25">
      <c r="C618" s="30"/>
    </row>
    <row r="619" spans="3:3" x14ac:dyDescent="0.25">
      <c r="C619" s="30"/>
    </row>
    <row r="620" spans="3:3" x14ac:dyDescent="0.25">
      <c r="C620" s="30"/>
    </row>
    <row r="621" spans="3:3" x14ac:dyDescent="0.25">
      <c r="C621" s="30"/>
    </row>
    <row r="622" spans="3:3" x14ac:dyDescent="0.25">
      <c r="C622" s="30"/>
    </row>
    <row r="623" spans="3:3" x14ac:dyDescent="0.25">
      <c r="C623" s="30"/>
    </row>
    <row r="624" spans="3:3" x14ac:dyDescent="0.25">
      <c r="C624" s="30"/>
    </row>
    <row r="625" spans="3:3" x14ac:dyDescent="0.25">
      <c r="C625" s="30"/>
    </row>
    <row r="626" spans="3:3" x14ac:dyDescent="0.25">
      <c r="C626" s="30"/>
    </row>
    <row r="627" spans="3:3" x14ac:dyDescent="0.25">
      <c r="C627" s="30"/>
    </row>
    <row r="628" spans="3:3" x14ac:dyDescent="0.25">
      <c r="C628" s="30"/>
    </row>
    <row r="629" spans="3:3" x14ac:dyDescent="0.25">
      <c r="C629" s="30"/>
    </row>
    <row r="630" spans="3:3" x14ac:dyDescent="0.25">
      <c r="C630" s="30"/>
    </row>
    <row r="631" spans="3:3" x14ac:dyDescent="0.25">
      <c r="C631" s="30"/>
    </row>
    <row r="632" spans="3:3" x14ac:dyDescent="0.25">
      <c r="C632" s="30"/>
    </row>
    <row r="633" spans="3:3" x14ac:dyDescent="0.25">
      <c r="C633" s="30"/>
    </row>
    <row r="634" spans="3:3" x14ac:dyDescent="0.25">
      <c r="C634" s="30"/>
    </row>
    <row r="635" spans="3:3" x14ac:dyDescent="0.25">
      <c r="C635" s="30"/>
    </row>
    <row r="636" spans="3:3" x14ac:dyDescent="0.25">
      <c r="C636" s="30"/>
    </row>
    <row r="637" spans="3:3" x14ac:dyDescent="0.25">
      <c r="C637" s="30"/>
    </row>
    <row r="638" spans="3:3" x14ac:dyDescent="0.25">
      <c r="C638" s="30"/>
    </row>
    <row r="639" spans="3:3" x14ac:dyDescent="0.25">
      <c r="C639" s="30"/>
    </row>
    <row r="640" spans="3:3" x14ac:dyDescent="0.25">
      <c r="C640" s="30"/>
    </row>
    <row r="641" spans="3:3" x14ac:dyDescent="0.25">
      <c r="C641" s="30"/>
    </row>
    <row r="642" spans="3:3" x14ac:dyDescent="0.25">
      <c r="C642" s="30"/>
    </row>
    <row r="643" spans="3:3" x14ac:dyDescent="0.25">
      <c r="C643" s="30"/>
    </row>
    <row r="644" spans="3:3" x14ac:dyDescent="0.25">
      <c r="C644" s="30"/>
    </row>
    <row r="645" spans="3:3" x14ac:dyDescent="0.25">
      <c r="C645" s="30"/>
    </row>
    <row r="646" spans="3:3" x14ac:dyDescent="0.25">
      <c r="C646" s="30"/>
    </row>
    <row r="647" spans="3:3" x14ac:dyDescent="0.25">
      <c r="C647" s="30"/>
    </row>
    <row r="648" spans="3:3" x14ac:dyDescent="0.25">
      <c r="C648" s="30"/>
    </row>
    <row r="649" spans="3:3" x14ac:dyDescent="0.25">
      <c r="C649" s="30"/>
    </row>
    <row r="650" spans="3:3" x14ac:dyDescent="0.25">
      <c r="C650" s="30"/>
    </row>
    <row r="651" spans="3:3" x14ac:dyDescent="0.25">
      <c r="C651" s="30"/>
    </row>
    <row r="652" spans="3:3" x14ac:dyDescent="0.25">
      <c r="C652" s="30"/>
    </row>
    <row r="653" spans="3:3" x14ac:dyDescent="0.25">
      <c r="C653" s="30"/>
    </row>
    <row r="654" spans="3:3" x14ac:dyDescent="0.25">
      <c r="C654" s="30"/>
    </row>
    <row r="655" spans="3:3" x14ac:dyDescent="0.25">
      <c r="C655" s="30"/>
    </row>
    <row r="656" spans="3:3" x14ac:dyDescent="0.25">
      <c r="C656" s="30"/>
    </row>
    <row r="657" spans="3:3" x14ac:dyDescent="0.25">
      <c r="C657" s="30"/>
    </row>
    <row r="658" spans="3:3" x14ac:dyDescent="0.25">
      <c r="C658" s="30"/>
    </row>
    <row r="659" spans="3:3" x14ac:dyDescent="0.25">
      <c r="C659" s="30"/>
    </row>
    <row r="660" spans="3:3" x14ac:dyDescent="0.25">
      <c r="C660" s="30"/>
    </row>
    <row r="661" spans="3:3" x14ac:dyDescent="0.25">
      <c r="C661" s="30"/>
    </row>
    <row r="662" spans="3:3" x14ac:dyDescent="0.25">
      <c r="C662" s="30"/>
    </row>
    <row r="663" spans="3:3" x14ac:dyDescent="0.25">
      <c r="C663" s="30"/>
    </row>
    <row r="664" spans="3:3" x14ac:dyDescent="0.25">
      <c r="C664" s="30"/>
    </row>
    <row r="665" spans="3:3" x14ac:dyDescent="0.25">
      <c r="C665" s="30"/>
    </row>
    <row r="666" spans="3:3" x14ac:dyDescent="0.25">
      <c r="C666" s="30"/>
    </row>
    <row r="667" spans="3:3" x14ac:dyDescent="0.25">
      <c r="C667" s="30"/>
    </row>
    <row r="668" spans="3:3" x14ac:dyDescent="0.25">
      <c r="C668" s="30"/>
    </row>
    <row r="669" spans="3:3" x14ac:dyDescent="0.25">
      <c r="C669" s="30"/>
    </row>
    <row r="670" spans="3:3" x14ac:dyDescent="0.25">
      <c r="C670" s="30"/>
    </row>
    <row r="671" spans="3:3" x14ac:dyDescent="0.25">
      <c r="C671" s="30"/>
    </row>
    <row r="672" spans="3:3" x14ac:dyDescent="0.25">
      <c r="C672" s="30"/>
    </row>
    <row r="673" spans="3:3" x14ac:dyDescent="0.25">
      <c r="C673" s="30"/>
    </row>
    <row r="674" spans="3:3" x14ac:dyDescent="0.25">
      <c r="C674" s="30"/>
    </row>
    <row r="675" spans="3:3" x14ac:dyDescent="0.25">
      <c r="C675" s="30"/>
    </row>
    <row r="676" spans="3:3" x14ac:dyDescent="0.25">
      <c r="C676" s="30"/>
    </row>
    <row r="677" spans="3:3" x14ac:dyDescent="0.25">
      <c r="C677" s="30"/>
    </row>
    <row r="678" spans="3:3" x14ac:dyDescent="0.25">
      <c r="C678" s="30"/>
    </row>
    <row r="679" spans="3:3" x14ac:dyDescent="0.25">
      <c r="C679" s="30"/>
    </row>
    <row r="680" spans="3:3" x14ac:dyDescent="0.25">
      <c r="C680" s="30"/>
    </row>
    <row r="681" spans="3:3" x14ac:dyDescent="0.25">
      <c r="C681" s="30"/>
    </row>
    <row r="682" spans="3:3" x14ac:dyDescent="0.25">
      <c r="C682" s="30"/>
    </row>
    <row r="683" spans="3:3" x14ac:dyDescent="0.25">
      <c r="C683" s="30"/>
    </row>
    <row r="684" spans="3:3" x14ac:dyDescent="0.25">
      <c r="C684" s="30"/>
    </row>
    <row r="685" spans="3:3" x14ac:dyDescent="0.25">
      <c r="C685" s="30"/>
    </row>
    <row r="686" spans="3:3" x14ac:dyDescent="0.25">
      <c r="C686" s="30"/>
    </row>
    <row r="687" spans="3:3" x14ac:dyDescent="0.25">
      <c r="C687" s="30"/>
    </row>
    <row r="688" spans="3:3" x14ac:dyDescent="0.25">
      <c r="C688" s="30"/>
    </row>
    <row r="689" spans="3:3" x14ac:dyDescent="0.25">
      <c r="C689" s="30"/>
    </row>
    <row r="690" spans="3:3" x14ac:dyDescent="0.25">
      <c r="C690" s="30"/>
    </row>
    <row r="691" spans="3:3" x14ac:dyDescent="0.25">
      <c r="C691" s="30"/>
    </row>
    <row r="692" spans="3:3" x14ac:dyDescent="0.25">
      <c r="C692" s="30"/>
    </row>
    <row r="693" spans="3:3" x14ac:dyDescent="0.25">
      <c r="C693" s="30"/>
    </row>
    <row r="694" spans="3:3" x14ac:dyDescent="0.25">
      <c r="C694" s="30"/>
    </row>
    <row r="695" spans="3:3" x14ac:dyDescent="0.25">
      <c r="C695" s="30"/>
    </row>
    <row r="696" spans="3:3" x14ac:dyDescent="0.25">
      <c r="C696" s="30"/>
    </row>
    <row r="697" spans="3:3" x14ac:dyDescent="0.25">
      <c r="C697" s="30"/>
    </row>
    <row r="698" spans="3:3" x14ac:dyDescent="0.25">
      <c r="C698" s="30"/>
    </row>
    <row r="699" spans="3:3" x14ac:dyDescent="0.25">
      <c r="C699" s="30"/>
    </row>
    <row r="700" spans="3:3" x14ac:dyDescent="0.25">
      <c r="C700" s="30"/>
    </row>
    <row r="701" spans="3:3" x14ac:dyDescent="0.25">
      <c r="C701" s="30"/>
    </row>
    <row r="702" spans="3:3" x14ac:dyDescent="0.25">
      <c r="C702" s="30"/>
    </row>
    <row r="703" spans="3:3" x14ac:dyDescent="0.25">
      <c r="C703" s="30"/>
    </row>
    <row r="704" spans="3:3" x14ac:dyDescent="0.25">
      <c r="C704" s="30"/>
    </row>
    <row r="705" spans="3:3" x14ac:dyDescent="0.25">
      <c r="C705" s="30"/>
    </row>
    <row r="706" spans="3:3" x14ac:dyDescent="0.25">
      <c r="C706" s="30"/>
    </row>
    <row r="707" spans="3:3" x14ac:dyDescent="0.25">
      <c r="C707" s="30"/>
    </row>
    <row r="708" spans="3:3" x14ac:dyDescent="0.25">
      <c r="C708" s="30"/>
    </row>
    <row r="709" spans="3:3" x14ac:dyDescent="0.25">
      <c r="C709" s="30"/>
    </row>
    <row r="710" spans="3:3" x14ac:dyDescent="0.25">
      <c r="C710" s="30"/>
    </row>
    <row r="711" spans="3:3" x14ac:dyDescent="0.25">
      <c r="C711" s="30"/>
    </row>
    <row r="712" spans="3:3" x14ac:dyDescent="0.25">
      <c r="C712" s="30"/>
    </row>
    <row r="713" spans="3:3" x14ac:dyDescent="0.25">
      <c r="C713" s="30"/>
    </row>
    <row r="714" spans="3:3" x14ac:dyDescent="0.25">
      <c r="C714" s="30"/>
    </row>
    <row r="715" spans="3:3" x14ac:dyDescent="0.25">
      <c r="C715" s="30"/>
    </row>
    <row r="716" spans="3:3" x14ac:dyDescent="0.25">
      <c r="C716" s="30"/>
    </row>
    <row r="717" spans="3:3" x14ac:dyDescent="0.25">
      <c r="C717" s="30"/>
    </row>
    <row r="718" spans="3:3" x14ac:dyDescent="0.25">
      <c r="C718" s="30"/>
    </row>
    <row r="719" spans="3:3" x14ac:dyDescent="0.25">
      <c r="C719" s="30"/>
    </row>
    <row r="720" spans="3:3" x14ac:dyDescent="0.25">
      <c r="C720" s="30"/>
    </row>
    <row r="721" spans="3:3" x14ac:dyDescent="0.25">
      <c r="C721" s="30"/>
    </row>
    <row r="722" spans="3:3" x14ac:dyDescent="0.25">
      <c r="C722" s="30"/>
    </row>
    <row r="723" spans="3:3" x14ac:dyDescent="0.25">
      <c r="C723" s="30"/>
    </row>
    <row r="724" spans="3:3" x14ac:dyDescent="0.25">
      <c r="C724" s="30"/>
    </row>
    <row r="725" spans="3:3" x14ac:dyDescent="0.25">
      <c r="C725" s="30"/>
    </row>
    <row r="726" spans="3:3" x14ac:dyDescent="0.25">
      <c r="C726" s="30"/>
    </row>
    <row r="727" spans="3:3" x14ac:dyDescent="0.25">
      <c r="C727" s="30"/>
    </row>
    <row r="728" spans="3:3" x14ac:dyDescent="0.25">
      <c r="C728" s="30"/>
    </row>
    <row r="729" spans="3:3" x14ac:dyDescent="0.25">
      <c r="C729" s="30"/>
    </row>
  </sheetData>
  <sortState ref="C1:D773">
    <sortCondition ref="C1"/>
  </sortState>
  <mergeCells count="4">
    <mergeCell ref="AL1:AV1"/>
    <mergeCell ref="B1:L1"/>
    <mergeCell ref="N1:X1"/>
    <mergeCell ref="Z1:AJ1"/>
  </mergeCells>
  <pageMargins left="0.25" right="0.25" top="0.75" bottom="0.75" header="0.3" footer="0.3"/>
  <pageSetup paperSize="9" scale="1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74"/>
  <sheetViews>
    <sheetView workbookViewId="0">
      <pane ySplit="1" topLeftCell="A96" activePane="bottomLeft" state="frozen"/>
      <selection pane="bottomLeft" activeCell="E113" sqref="E113"/>
    </sheetView>
  </sheetViews>
  <sheetFormatPr baseColWidth="10" defaultRowHeight="15" x14ac:dyDescent="0.25"/>
  <cols>
    <col min="1" max="3" width="11.42578125" style="21"/>
    <col min="4" max="4" width="19.5703125" style="21" customWidth="1"/>
    <col min="5" max="11" width="11.42578125" style="21"/>
    <col min="12" max="12" width="23.140625" style="21" customWidth="1"/>
    <col min="13" max="15" width="11.42578125" style="21"/>
    <col min="16" max="16" width="11.85546875" style="21" bestFit="1" customWidth="1"/>
    <col min="17" max="17" width="11.42578125" style="21"/>
    <col min="18" max="18" width="18.7109375" style="21" customWidth="1"/>
    <col min="19" max="19" width="11.42578125" style="21"/>
    <col min="20" max="20" width="22.140625" style="21" customWidth="1"/>
    <col min="21" max="22" width="40.5703125" style="21" bestFit="1" customWidth="1"/>
    <col min="23" max="23" width="17.28515625" style="21" customWidth="1"/>
    <col min="24" max="24" width="39.28515625" style="21" bestFit="1" customWidth="1"/>
    <col min="25" max="25" width="11.42578125" style="21"/>
    <col min="26" max="26" width="44.28515625" style="21" bestFit="1" customWidth="1"/>
    <col min="27" max="27" width="23.28515625" style="21" bestFit="1" customWidth="1"/>
    <col min="28" max="28" width="28.140625" style="21" bestFit="1" customWidth="1"/>
    <col min="29" max="29" width="17.28515625" style="21" customWidth="1"/>
    <col min="30" max="30" width="15" style="21" bestFit="1" customWidth="1"/>
    <col min="31" max="31" width="15.7109375" style="21" customWidth="1"/>
    <col min="32" max="256" width="11.42578125" style="21"/>
    <col min="257" max="257" width="19.5703125" style="21" customWidth="1"/>
    <col min="258" max="512" width="11.42578125" style="21"/>
    <col min="513" max="513" width="19.5703125" style="21" customWidth="1"/>
    <col min="514" max="768" width="11.42578125" style="21"/>
    <col min="769" max="769" width="19.5703125" style="21" customWidth="1"/>
    <col min="770" max="1024" width="11.42578125" style="21"/>
    <col min="1025" max="1025" width="19.5703125" style="21" customWidth="1"/>
    <col min="1026" max="1280" width="11.42578125" style="21"/>
    <col min="1281" max="1281" width="19.5703125" style="21" customWidth="1"/>
    <col min="1282" max="1536" width="11.42578125" style="21"/>
    <col min="1537" max="1537" width="19.5703125" style="21" customWidth="1"/>
    <col min="1538" max="1792" width="11.42578125" style="21"/>
    <col min="1793" max="1793" width="19.5703125" style="21" customWidth="1"/>
    <col min="1794" max="2048" width="11.42578125" style="21"/>
    <col min="2049" max="2049" width="19.5703125" style="21" customWidth="1"/>
    <col min="2050" max="2304" width="11.42578125" style="21"/>
    <col min="2305" max="2305" width="19.5703125" style="21" customWidth="1"/>
    <col min="2306" max="2560" width="11.42578125" style="21"/>
    <col min="2561" max="2561" width="19.5703125" style="21" customWidth="1"/>
    <col min="2562" max="2816" width="11.42578125" style="21"/>
    <col min="2817" max="2817" width="19.5703125" style="21" customWidth="1"/>
    <col min="2818" max="3072" width="11.42578125" style="21"/>
    <col min="3073" max="3073" width="19.5703125" style="21" customWidth="1"/>
    <col min="3074" max="3328" width="11.42578125" style="21"/>
    <col min="3329" max="3329" width="19.5703125" style="21" customWidth="1"/>
    <col min="3330" max="3584" width="11.42578125" style="21"/>
    <col min="3585" max="3585" width="19.5703125" style="21" customWidth="1"/>
    <col min="3586" max="3840" width="11.42578125" style="21"/>
    <col min="3841" max="3841" width="19.5703125" style="21" customWidth="1"/>
    <col min="3842" max="4096" width="11.42578125" style="21"/>
    <col min="4097" max="4097" width="19.5703125" style="21" customWidth="1"/>
    <col min="4098" max="4352" width="11.42578125" style="21"/>
    <col min="4353" max="4353" width="19.5703125" style="21" customWidth="1"/>
    <col min="4354" max="4608" width="11.42578125" style="21"/>
    <col min="4609" max="4609" width="19.5703125" style="21" customWidth="1"/>
    <col min="4610" max="4864" width="11.42578125" style="21"/>
    <col min="4865" max="4865" width="19.5703125" style="21" customWidth="1"/>
    <col min="4866" max="5120" width="11.42578125" style="21"/>
    <col min="5121" max="5121" width="19.5703125" style="21" customWidth="1"/>
    <col min="5122" max="5376" width="11.42578125" style="21"/>
    <col min="5377" max="5377" width="19.5703125" style="21" customWidth="1"/>
    <col min="5378" max="5632" width="11.42578125" style="21"/>
    <col min="5633" max="5633" width="19.5703125" style="21" customWidth="1"/>
    <col min="5634" max="5888" width="11.42578125" style="21"/>
    <col min="5889" max="5889" width="19.5703125" style="21" customWidth="1"/>
    <col min="5890" max="6144" width="11.42578125" style="21"/>
    <col min="6145" max="6145" width="19.5703125" style="21" customWidth="1"/>
    <col min="6146" max="6400" width="11.42578125" style="21"/>
    <col min="6401" max="6401" width="19.5703125" style="21" customWidth="1"/>
    <col min="6402" max="6656" width="11.42578125" style="21"/>
    <col min="6657" max="6657" width="19.5703125" style="21" customWidth="1"/>
    <col min="6658" max="6912" width="11.42578125" style="21"/>
    <col min="6913" max="6913" width="19.5703125" style="21" customWidth="1"/>
    <col min="6914" max="7168" width="11.42578125" style="21"/>
    <col min="7169" max="7169" width="19.5703125" style="21" customWidth="1"/>
    <col min="7170" max="7424" width="11.42578125" style="21"/>
    <col min="7425" max="7425" width="19.5703125" style="21" customWidth="1"/>
    <col min="7426" max="7680" width="11.42578125" style="21"/>
    <col min="7681" max="7681" width="19.5703125" style="21" customWidth="1"/>
    <col min="7682" max="7936" width="11.42578125" style="21"/>
    <col min="7937" max="7937" width="19.5703125" style="21" customWidth="1"/>
    <col min="7938" max="8192" width="11.42578125" style="21"/>
    <col min="8193" max="8193" width="19.5703125" style="21" customWidth="1"/>
    <col min="8194" max="8448" width="11.42578125" style="21"/>
    <col min="8449" max="8449" width="19.5703125" style="21" customWidth="1"/>
    <col min="8450" max="8704" width="11.42578125" style="21"/>
    <col min="8705" max="8705" width="19.5703125" style="21" customWidth="1"/>
    <col min="8706" max="8960" width="11.42578125" style="21"/>
    <col min="8961" max="8961" width="19.5703125" style="21" customWidth="1"/>
    <col min="8962" max="9216" width="11.42578125" style="21"/>
    <col min="9217" max="9217" width="19.5703125" style="21" customWidth="1"/>
    <col min="9218" max="9472" width="11.42578125" style="21"/>
    <col min="9473" max="9473" width="19.5703125" style="21" customWidth="1"/>
    <col min="9474" max="9728" width="11.42578125" style="21"/>
    <col min="9729" max="9729" width="19.5703125" style="21" customWidth="1"/>
    <col min="9730" max="9984" width="11.42578125" style="21"/>
    <col min="9985" max="9985" width="19.5703125" style="21" customWidth="1"/>
    <col min="9986" max="10240" width="11.42578125" style="21"/>
    <col min="10241" max="10241" width="19.5703125" style="21" customWidth="1"/>
    <col min="10242" max="10496" width="11.42578125" style="21"/>
    <col min="10497" max="10497" width="19.5703125" style="21" customWidth="1"/>
    <col min="10498" max="10752" width="11.42578125" style="21"/>
    <col min="10753" max="10753" width="19.5703125" style="21" customWidth="1"/>
    <col min="10754" max="11008" width="11.42578125" style="21"/>
    <col min="11009" max="11009" width="19.5703125" style="21" customWidth="1"/>
    <col min="11010" max="11264" width="11.42578125" style="21"/>
    <col min="11265" max="11265" width="19.5703125" style="21" customWidth="1"/>
    <col min="11266" max="11520" width="11.42578125" style="21"/>
    <col min="11521" max="11521" width="19.5703125" style="21" customWidth="1"/>
    <col min="11522" max="11776" width="11.42578125" style="21"/>
    <col min="11777" max="11777" width="19.5703125" style="21" customWidth="1"/>
    <col min="11778" max="12032" width="11.42578125" style="21"/>
    <col min="12033" max="12033" width="19.5703125" style="21" customWidth="1"/>
    <col min="12034" max="12288" width="11.42578125" style="21"/>
    <col min="12289" max="12289" width="19.5703125" style="21" customWidth="1"/>
    <col min="12290" max="12544" width="11.42578125" style="21"/>
    <col min="12545" max="12545" width="19.5703125" style="21" customWidth="1"/>
    <col min="12546" max="12800" width="11.42578125" style="21"/>
    <col min="12801" max="12801" width="19.5703125" style="21" customWidth="1"/>
    <col min="12802" max="13056" width="11.42578125" style="21"/>
    <col min="13057" max="13057" width="19.5703125" style="21" customWidth="1"/>
    <col min="13058" max="13312" width="11.42578125" style="21"/>
    <col min="13313" max="13313" width="19.5703125" style="21" customWidth="1"/>
    <col min="13314" max="13568" width="11.42578125" style="21"/>
    <col min="13569" max="13569" width="19.5703125" style="21" customWidth="1"/>
    <col min="13570" max="13824" width="11.42578125" style="21"/>
    <col min="13825" max="13825" width="19.5703125" style="21" customWidth="1"/>
    <col min="13826" max="14080" width="11.42578125" style="21"/>
    <col min="14081" max="14081" width="19.5703125" style="21" customWidth="1"/>
    <col min="14082" max="14336" width="11.42578125" style="21"/>
    <col min="14337" max="14337" width="19.5703125" style="21" customWidth="1"/>
    <col min="14338" max="14592" width="11.42578125" style="21"/>
    <col min="14593" max="14593" width="19.5703125" style="21" customWidth="1"/>
    <col min="14594" max="14848" width="11.42578125" style="21"/>
    <col min="14849" max="14849" width="19.5703125" style="21" customWidth="1"/>
    <col min="14850" max="15104" width="11.42578125" style="21"/>
    <col min="15105" max="15105" width="19.5703125" style="21" customWidth="1"/>
    <col min="15106" max="15360" width="11.42578125" style="21"/>
    <col min="15361" max="15361" width="19.5703125" style="21" customWidth="1"/>
    <col min="15362" max="15616" width="11.42578125" style="21"/>
    <col min="15617" max="15617" width="19.5703125" style="21" customWidth="1"/>
    <col min="15618" max="15872" width="11.42578125" style="21"/>
    <col min="15873" max="15873" width="19.5703125" style="21" customWidth="1"/>
    <col min="15874" max="16128" width="11.42578125" style="21"/>
    <col min="16129" max="16129" width="19.5703125" style="21" customWidth="1"/>
    <col min="16130" max="16384" width="11.42578125" style="21"/>
  </cols>
  <sheetData>
    <row r="1" spans="1:31" ht="45.75" thickBot="1" x14ac:dyDescent="0.3">
      <c r="B1" s="24" t="s">
        <v>68</v>
      </c>
      <c r="C1" s="24" t="s">
        <v>69</v>
      </c>
      <c r="D1" s="24" t="s">
        <v>70</v>
      </c>
      <c r="E1" s="25" t="s">
        <v>71</v>
      </c>
      <c r="F1" s="25" t="s">
        <v>72</v>
      </c>
      <c r="G1" s="25" t="s">
        <v>73</v>
      </c>
      <c r="H1" s="25" t="s">
        <v>74</v>
      </c>
      <c r="I1" s="25" t="s">
        <v>75</v>
      </c>
      <c r="J1" s="25" t="s">
        <v>7</v>
      </c>
      <c r="K1" s="28" t="s">
        <v>1032</v>
      </c>
      <c r="L1" s="28" t="s">
        <v>1031</v>
      </c>
      <c r="M1" s="25"/>
      <c r="N1" s="28" t="s">
        <v>1030</v>
      </c>
      <c r="O1" s="29" t="str">
        <f>IF(Cumplimiento!C4&lt;&gt;"",Cumplimiento!C4,"")</f>
        <v/>
      </c>
      <c r="P1" s="21" t="s">
        <v>1033</v>
      </c>
      <c r="Q1" s="21" t="s">
        <v>1034</v>
      </c>
      <c r="R1" s="21" t="s">
        <v>1035</v>
      </c>
      <c r="S1" s="21" t="s">
        <v>7</v>
      </c>
      <c r="T1" s="21" t="s">
        <v>1040</v>
      </c>
      <c r="U1" s="21" t="s">
        <v>1039</v>
      </c>
      <c r="V1" s="21" t="s">
        <v>1059</v>
      </c>
      <c r="W1" s="44" t="s">
        <v>1062</v>
      </c>
      <c r="X1" s="21" t="s">
        <v>1063</v>
      </c>
      <c r="Y1" s="21" t="s">
        <v>1071</v>
      </c>
      <c r="AA1" s="21" t="s">
        <v>1087</v>
      </c>
      <c r="AB1" s="21" t="s">
        <v>1089</v>
      </c>
      <c r="AC1" s="44" t="s">
        <v>1062</v>
      </c>
      <c r="AE1" s="44"/>
    </row>
    <row r="2" spans="1:31" x14ac:dyDescent="0.25">
      <c r="A2" s="21">
        <v>1</v>
      </c>
      <c r="B2" s="26" t="s">
        <v>28</v>
      </c>
      <c r="C2" s="26" t="s">
        <v>76</v>
      </c>
      <c r="D2" s="26" t="s">
        <v>207</v>
      </c>
      <c r="E2" s="21">
        <v>1342</v>
      </c>
      <c r="F2" s="21">
        <v>689</v>
      </c>
      <c r="G2" s="21">
        <v>653</v>
      </c>
      <c r="H2" s="21">
        <v>37.14114</v>
      </c>
      <c r="I2" s="21">
        <v>-2.7801040000000001</v>
      </c>
      <c r="J2" s="21">
        <v>871.16840000000002</v>
      </c>
      <c r="K2" s="21">
        <v>1</v>
      </c>
      <c r="L2" s="21" t="b">
        <f>IF($O$1&lt;&gt;"",IF($O$1=$M$2,IFERROR(VLOOKUP($O$1,B2:D103,3,FALSE),""),IF($O$1=$M$3,IFERROR(VLOOKUP($O$1,B104:D147,3,FALSE),""),IF($O$1=$M$4,IFERROR(VLOOKUP($O$1,B148:D222,3,FALSE),""),IF($O$1=$M$5,IFERROR(VLOOKUP($O$1,B223:D392,3,FALSE),""),IF($O$1=$M$6,IFERROR(VLOOKUP($O$1,B393:D471,3,FALSE),""),IF($O$1=$M$7,IFERROR(VLOOKUP($O$1,B472:D568,3,FALSE),""),IF($O$1=$M$8,IFERROR(VLOOKUP($O$1,B569:D669,3,FALSE),""),IFERROR(VLOOKUP($O$1,B670:D774,3,FALSE),"")))))))))</f>
        <v>0</v>
      </c>
      <c r="M2" s="21" t="s">
        <v>28</v>
      </c>
      <c r="N2" s="21">
        <f t="shared" ref="N2:N8" si="0">COUNTIF($B$2:$B$774,M2)</f>
        <v>102</v>
      </c>
      <c r="O2" s="22" t="str">
        <f>IF(O1&lt;&gt;"",VLOOKUP($O$1,$M$2:$N$9,2,FALSE),"")</f>
        <v/>
      </c>
      <c r="P2" s="21">
        <v>2</v>
      </c>
      <c r="Q2" s="21">
        <f>P2+N2-1</f>
        <v>103</v>
      </c>
      <c r="R2" s="26" t="s">
        <v>207</v>
      </c>
      <c r="S2" s="21">
        <v>871.16840000000002</v>
      </c>
      <c r="T2" s="21" t="s">
        <v>1048</v>
      </c>
      <c r="U2" s="21" t="s">
        <v>1052</v>
      </c>
      <c r="V2" s="21" t="s">
        <v>1061</v>
      </c>
      <c r="W2" s="46">
        <v>3.5999999999999997E-2</v>
      </c>
      <c r="X2" s="21" t="s">
        <v>1064</v>
      </c>
      <c r="Y2" s="21" t="s">
        <v>1072</v>
      </c>
      <c r="Z2" s="21" t="s">
        <v>1078</v>
      </c>
      <c r="AA2" s="21" t="s">
        <v>1084</v>
      </c>
      <c r="AB2" s="21" t="s">
        <v>1091</v>
      </c>
      <c r="AC2" s="21">
        <v>2.8</v>
      </c>
    </row>
    <row r="3" spans="1:31" x14ac:dyDescent="0.25">
      <c r="A3" s="21">
        <v>2</v>
      </c>
      <c r="B3" s="26" t="s">
        <v>28</v>
      </c>
      <c r="C3" s="26" t="s">
        <v>77</v>
      </c>
      <c r="D3" s="26" t="s">
        <v>208</v>
      </c>
      <c r="E3" s="21">
        <v>1279</v>
      </c>
      <c r="F3" s="21">
        <v>656</v>
      </c>
      <c r="G3" s="21">
        <v>623</v>
      </c>
      <c r="H3" s="21">
        <v>37.133049999999997</v>
      </c>
      <c r="I3" s="21">
        <v>-2.7970980000000001</v>
      </c>
      <c r="J3" s="21">
        <v>976.93870000000004</v>
      </c>
      <c r="K3" s="21">
        <v>2</v>
      </c>
      <c r="L3" s="21" t="b">
        <f t="shared" ref="L3:L66" si="1">IF($O$1&lt;&gt;"",IF($O$1=$M$2,IFERROR(VLOOKUP($O$1,B3:D104,3,FALSE),""),IF($O$1=$M$3,IFERROR(VLOOKUP($O$1,B105:D148,3,FALSE),""),IF($O$1=$M$4,IFERROR(VLOOKUP($O$1,B149:D223,3,FALSE),""),IF($O$1=$M$5,IFERROR(VLOOKUP($O$1,B224:D393,3,FALSE),""),IF($O$1=$M$6,IFERROR(VLOOKUP($O$1,B394:D472,3,FALSE),""),IF($O$1=$M$7,IFERROR(VLOOKUP($O$1,B473:D569,3,FALSE),""),IF($O$1=$M$8,IFERROR(VLOOKUP($O$1,B570:D670,3,FALSE),""),IFERROR(VLOOKUP($O$1,B671:D775,3,FALSE),"")))))))))</f>
        <v>0</v>
      </c>
      <c r="M3" s="21" t="s">
        <v>38</v>
      </c>
      <c r="N3" s="21">
        <f t="shared" si="0"/>
        <v>44</v>
      </c>
      <c r="P3" s="21">
        <f>Q2+1</f>
        <v>104</v>
      </c>
      <c r="Q3" s="21">
        <f t="shared" ref="Q3:Q9" si="2">P3+N3-1</f>
        <v>147</v>
      </c>
      <c r="R3" s="26" t="s">
        <v>208</v>
      </c>
      <c r="S3" s="21">
        <v>976.93870000000004</v>
      </c>
      <c r="T3" s="21" t="s">
        <v>1049</v>
      </c>
      <c r="U3" s="21" t="s">
        <v>1053</v>
      </c>
      <c r="V3" s="21" t="s">
        <v>1060</v>
      </c>
      <c r="W3" s="46">
        <v>3.5999999999999997E-2</v>
      </c>
      <c r="X3" s="21" t="s">
        <v>1065</v>
      </c>
      <c r="Y3" s="21" t="s">
        <v>1073</v>
      </c>
      <c r="Z3" s="21" t="s">
        <v>1079</v>
      </c>
      <c r="AA3" s="21" t="s">
        <v>1085</v>
      </c>
      <c r="AB3" s="21" t="s">
        <v>1092</v>
      </c>
      <c r="AC3" s="21">
        <v>2.2000000000000002</v>
      </c>
    </row>
    <row r="4" spans="1:31" x14ac:dyDescent="0.25">
      <c r="A4" s="21">
        <v>3</v>
      </c>
      <c r="B4" s="26" t="s">
        <v>28</v>
      </c>
      <c r="C4" s="26" t="s">
        <v>78</v>
      </c>
      <c r="D4" s="26" t="s">
        <v>209</v>
      </c>
      <c r="E4" s="21">
        <v>24670</v>
      </c>
      <c r="F4" s="21">
        <v>12453</v>
      </c>
      <c r="G4" s="21">
        <v>12217</v>
      </c>
      <c r="H4" s="21">
        <v>36.748069999999998</v>
      </c>
      <c r="I4" s="21">
        <v>-3.0225219999999999</v>
      </c>
      <c r="J4" s="21">
        <v>10.97898</v>
      </c>
      <c r="K4" s="21">
        <v>3</v>
      </c>
      <c r="L4" s="21" t="b">
        <f t="shared" si="1"/>
        <v>0</v>
      </c>
      <c r="M4" s="21" t="s">
        <v>41</v>
      </c>
      <c r="N4" s="21">
        <f t="shared" si="0"/>
        <v>75</v>
      </c>
      <c r="P4" s="21">
        <f t="shared" ref="P4:P9" si="3">Q3+1</f>
        <v>148</v>
      </c>
      <c r="Q4" s="21">
        <f t="shared" si="2"/>
        <v>222</v>
      </c>
      <c r="R4" s="26" t="s">
        <v>408</v>
      </c>
      <c r="S4" s="21">
        <v>245.24379999999999</v>
      </c>
      <c r="T4" s="21" t="s">
        <v>1050</v>
      </c>
      <c r="U4" s="21" t="s">
        <v>1054</v>
      </c>
      <c r="V4" s="21" t="s">
        <v>1097</v>
      </c>
      <c r="W4" s="46">
        <f>AVERAGE(0.049,0.055,0.049)</f>
        <v>5.1000000000000011E-2</v>
      </c>
      <c r="X4" s="21" t="s">
        <v>1066</v>
      </c>
      <c r="Y4" s="21" t="s">
        <v>1074</v>
      </c>
      <c r="Z4" s="21" t="s">
        <v>1080</v>
      </c>
      <c r="AA4" s="21" t="s">
        <v>1084</v>
      </c>
      <c r="AB4" s="21" t="s">
        <v>1090</v>
      </c>
      <c r="AC4" s="21">
        <v>2</v>
      </c>
    </row>
    <row r="5" spans="1:31" x14ac:dyDescent="0.25">
      <c r="A5" s="21">
        <v>4</v>
      </c>
      <c r="B5" s="26" t="s">
        <v>28</v>
      </c>
      <c r="C5" s="26" t="s">
        <v>79</v>
      </c>
      <c r="D5" s="26" t="s">
        <v>210</v>
      </c>
      <c r="E5" s="21">
        <v>805</v>
      </c>
      <c r="F5" s="21">
        <v>404</v>
      </c>
      <c r="G5" s="21">
        <v>401</v>
      </c>
      <c r="H5" s="21">
        <v>37.287100000000002</v>
      </c>
      <c r="I5" s="21">
        <v>-2.1811630000000002</v>
      </c>
      <c r="J5" s="21">
        <v>481.31229999999999</v>
      </c>
      <c r="K5" s="21">
        <v>4</v>
      </c>
      <c r="L5" s="21" t="b">
        <f t="shared" si="1"/>
        <v>0</v>
      </c>
      <c r="M5" s="21" t="s">
        <v>45</v>
      </c>
      <c r="N5" s="21">
        <f t="shared" si="0"/>
        <v>170</v>
      </c>
      <c r="P5" s="21">
        <f t="shared" si="3"/>
        <v>223</v>
      </c>
      <c r="Q5" s="21">
        <f t="shared" si="2"/>
        <v>392</v>
      </c>
      <c r="R5" s="26" t="s">
        <v>209</v>
      </c>
      <c r="S5" s="21">
        <v>10.97898</v>
      </c>
      <c r="T5" s="21" t="s">
        <v>1051</v>
      </c>
      <c r="U5" s="21" t="s">
        <v>1055</v>
      </c>
      <c r="V5" s="21" t="s">
        <v>1098</v>
      </c>
      <c r="W5" s="46">
        <f>AVERAGE(0.04,0.045)</f>
        <v>4.2499999999999996E-2</v>
      </c>
      <c r="X5" s="21" t="s">
        <v>1067</v>
      </c>
      <c r="Y5" s="21" t="s">
        <v>1075</v>
      </c>
      <c r="Z5" s="21" t="s">
        <v>1081</v>
      </c>
      <c r="AA5" s="21" t="s">
        <v>1086</v>
      </c>
      <c r="AB5" s="21" t="s">
        <v>1093</v>
      </c>
      <c r="AC5" s="21">
        <v>2.2000000000000002</v>
      </c>
    </row>
    <row r="6" spans="1:31" x14ac:dyDescent="0.25">
      <c r="A6" s="21">
        <v>5</v>
      </c>
      <c r="B6" s="26" t="s">
        <v>28</v>
      </c>
      <c r="C6" s="26" t="s">
        <v>80</v>
      </c>
      <c r="D6" s="26" t="s">
        <v>211</v>
      </c>
      <c r="E6" s="21">
        <v>653</v>
      </c>
      <c r="F6" s="21">
        <v>314</v>
      </c>
      <c r="G6" s="21">
        <v>339</v>
      </c>
      <c r="H6" s="21">
        <v>37.033189999999998</v>
      </c>
      <c r="I6" s="21">
        <v>-2.62175</v>
      </c>
      <c r="J6" s="21">
        <v>388.43459999999999</v>
      </c>
      <c r="K6" s="21">
        <v>5</v>
      </c>
      <c r="L6" s="21" t="b">
        <f t="shared" si="1"/>
        <v>0</v>
      </c>
      <c r="M6" s="21" t="s">
        <v>49</v>
      </c>
      <c r="N6" s="21">
        <f t="shared" si="0"/>
        <v>79</v>
      </c>
      <c r="P6" s="21">
        <f t="shared" si="3"/>
        <v>393</v>
      </c>
      <c r="Q6" s="21">
        <f t="shared" si="2"/>
        <v>471</v>
      </c>
      <c r="R6" s="26" t="s">
        <v>482</v>
      </c>
      <c r="S6" s="21">
        <v>1057.4929999999999</v>
      </c>
      <c r="U6" s="21" t="s">
        <v>1056</v>
      </c>
      <c r="V6" s="21" t="s">
        <v>1099</v>
      </c>
      <c r="W6" s="46">
        <v>3.6999999999999998E-2</v>
      </c>
      <c r="X6" s="21" t="s">
        <v>1068</v>
      </c>
      <c r="Y6" s="21" t="s">
        <v>1076</v>
      </c>
      <c r="Z6" s="21" t="s">
        <v>1082</v>
      </c>
      <c r="AA6" s="21" t="s">
        <v>1085</v>
      </c>
      <c r="AB6" s="21" t="s">
        <v>1094</v>
      </c>
      <c r="AC6" s="21">
        <v>1.8</v>
      </c>
    </row>
    <row r="7" spans="1:31" x14ac:dyDescent="0.25">
      <c r="A7" s="21">
        <v>6</v>
      </c>
      <c r="B7" s="26" t="s">
        <v>28</v>
      </c>
      <c r="C7" s="26" t="s">
        <v>81</v>
      </c>
      <c r="D7" s="26" t="s">
        <v>212</v>
      </c>
      <c r="E7" s="21">
        <v>11429</v>
      </c>
      <c r="F7" s="21">
        <v>5828</v>
      </c>
      <c r="G7" s="21">
        <v>5601</v>
      </c>
      <c r="H7" s="21">
        <v>37.389789999999998</v>
      </c>
      <c r="I7" s="21">
        <v>-2.1474829999999998</v>
      </c>
      <c r="J7" s="21">
        <v>426.42680000000001</v>
      </c>
      <c r="K7" s="21">
        <v>6</v>
      </c>
      <c r="L7" s="21" t="b">
        <f t="shared" si="1"/>
        <v>0</v>
      </c>
      <c r="M7" s="21" t="s">
        <v>50</v>
      </c>
      <c r="N7" s="21">
        <f t="shared" si="0"/>
        <v>97</v>
      </c>
      <c r="P7" s="21">
        <f t="shared" si="3"/>
        <v>472</v>
      </c>
      <c r="Q7" s="21">
        <f t="shared" si="2"/>
        <v>568</v>
      </c>
      <c r="R7" s="26" t="s">
        <v>925</v>
      </c>
      <c r="S7" s="21">
        <v>269.41989999999998</v>
      </c>
      <c r="U7" s="21" t="s">
        <v>1057</v>
      </c>
      <c r="V7" s="21" t="s">
        <v>1100</v>
      </c>
      <c r="W7" s="46">
        <f>AVERAGE(0.24,0.21,0.17,0.15,0.13,0.11,0.09,0.18,0.15,0.13,0.1,0.23,0.2,0.18,0.14,0.1,0.07,0.15,0.12,0.1,0.13)</f>
        <v>0.1466666666666667</v>
      </c>
      <c r="Y7" s="21" t="s">
        <v>1077</v>
      </c>
      <c r="Z7" s="21" t="s">
        <v>1083</v>
      </c>
      <c r="AA7" s="21" t="s">
        <v>1086</v>
      </c>
      <c r="AB7" s="21" t="s">
        <v>1095</v>
      </c>
      <c r="AC7" s="21">
        <v>1.5</v>
      </c>
    </row>
    <row r="8" spans="1:31" x14ac:dyDescent="0.25">
      <c r="A8" s="21">
        <v>7</v>
      </c>
      <c r="B8" s="26" t="s">
        <v>28</v>
      </c>
      <c r="C8" s="26" t="s">
        <v>82</v>
      </c>
      <c r="D8" s="26" t="s">
        <v>213</v>
      </c>
      <c r="E8" s="21">
        <v>812</v>
      </c>
      <c r="F8" s="21">
        <v>423</v>
      </c>
      <c r="G8" s="21">
        <v>389</v>
      </c>
      <c r="H8" s="21">
        <v>36.974490000000003</v>
      </c>
      <c r="I8" s="21">
        <v>-2.9610379999999998</v>
      </c>
      <c r="J8" s="21">
        <v>744.69560000000001</v>
      </c>
      <c r="K8" s="21">
        <v>7</v>
      </c>
      <c r="L8" s="21" t="b">
        <f t="shared" si="1"/>
        <v>0</v>
      </c>
      <c r="M8" s="21" t="s">
        <v>53</v>
      </c>
      <c r="N8" s="21">
        <f t="shared" si="0"/>
        <v>101</v>
      </c>
      <c r="P8" s="21">
        <f t="shared" si="3"/>
        <v>569</v>
      </c>
      <c r="Q8" s="21">
        <f t="shared" si="2"/>
        <v>669</v>
      </c>
      <c r="R8" s="26" t="s">
        <v>409</v>
      </c>
      <c r="S8" s="21">
        <v>374.59629999999999</v>
      </c>
      <c r="U8" s="21" t="s">
        <v>1058</v>
      </c>
      <c r="V8" s="21" t="s">
        <v>1101</v>
      </c>
      <c r="W8" s="46">
        <f>AVERAGE(0.041,0.038)</f>
        <v>3.95E-2</v>
      </c>
      <c r="Y8" s="21" t="s">
        <v>1157</v>
      </c>
      <c r="Z8" s="21" t="s">
        <v>1160</v>
      </c>
    </row>
    <row r="9" spans="1:31" x14ac:dyDescent="0.25">
      <c r="A9" s="21">
        <v>8</v>
      </c>
      <c r="B9" s="26" t="s">
        <v>28</v>
      </c>
      <c r="C9" s="26" t="s">
        <v>83</v>
      </c>
      <c r="D9" s="26" t="s">
        <v>214</v>
      </c>
      <c r="E9" s="21">
        <v>570</v>
      </c>
      <c r="F9" s="21">
        <v>314</v>
      </c>
      <c r="G9" s="21">
        <v>256</v>
      </c>
      <c r="H9" s="21">
        <v>37.335850000000001</v>
      </c>
      <c r="I9" s="21">
        <v>-2.5969440000000001</v>
      </c>
      <c r="J9" s="21">
        <v>955.13310000000001</v>
      </c>
      <c r="K9" s="21">
        <v>8</v>
      </c>
      <c r="L9" s="21" t="b">
        <f t="shared" si="1"/>
        <v>0</v>
      </c>
      <c r="M9" s="21" t="s">
        <v>55</v>
      </c>
      <c r="N9" s="21">
        <f>COUNTIF($B$2:$B$774,M9)</f>
        <v>105</v>
      </c>
      <c r="P9" s="21">
        <f t="shared" si="3"/>
        <v>670</v>
      </c>
      <c r="Q9" s="21">
        <f t="shared" si="2"/>
        <v>774</v>
      </c>
      <c r="R9" s="26" t="s">
        <v>651</v>
      </c>
      <c r="S9" s="21">
        <v>578.17510000000004</v>
      </c>
      <c r="V9" s="21" t="s">
        <v>1104</v>
      </c>
      <c r="W9" s="46">
        <f>AVERAGE(0.031,0.05)</f>
        <v>4.0500000000000001E-2</v>
      </c>
      <c r="Y9" s="21" t="s">
        <v>1158</v>
      </c>
      <c r="Z9" s="21" t="s">
        <v>1161</v>
      </c>
    </row>
    <row r="10" spans="1:31" x14ac:dyDescent="0.25">
      <c r="A10" s="21">
        <v>9</v>
      </c>
      <c r="B10" s="26" t="s">
        <v>28</v>
      </c>
      <c r="C10" s="26" t="s">
        <v>84</v>
      </c>
      <c r="D10" s="26" t="s">
        <v>215</v>
      </c>
      <c r="E10" s="21">
        <v>168</v>
      </c>
      <c r="F10" s="21">
        <v>83</v>
      </c>
      <c r="G10" s="21">
        <v>85</v>
      </c>
      <c r="H10" s="21">
        <v>37.235979999999998</v>
      </c>
      <c r="I10" s="21">
        <v>-2.2661739999999999</v>
      </c>
      <c r="J10" s="21">
        <v>1018.354</v>
      </c>
      <c r="K10" s="21">
        <v>9</v>
      </c>
      <c r="L10" s="21" t="b">
        <f t="shared" si="1"/>
        <v>0</v>
      </c>
      <c r="R10" s="26" t="s">
        <v>825</v>
      </c>
      <c r="S10" s="21">
        <v>431.06009999999998</v>
      </c>
      <c r="V10" s="21" t="s">
        <v>1103</v>
      </c>
      <c r="W10" s="46">
        <f>AVERAGE(0.043,0.042,0.041,0.038,0.036,0.034,0.0325,0.032,0.032)</f>
        <v>3.6722222222222226E-2</v>
      </c>
      <c r="Y10" s="21" t="s">
        <v>1159</v>
      </c>
      <c r="Z10" s="21" t="s">
        <v>1162</v>
      </c>
    </row>
    <row r="11" spans="1:31" x14ac:dyDescent="0.25">
      <c r="A11" s="21">
        <v>10</v>
      </c>
      <c r="B11" s="26" t="s">
        <v>28</v>
      </c>
      <c r="C11" s="26" t="s">
        <v>85</v>
      </c>
      <c r="D11" s="26" t="s">
        <v>216</v>
      </c>
      <c r="E11" s="21">
        <v>700</v>
      </c>
      <c r="F11" s="21">
        <v>359</v>
      </c>
      <c r="G11" s="21">
        <v>341</v>
      </c>
      <c r="H11" s="21">
        <v>36.9893</v>
      </c>
      <c r="I11" s="21">
        <v>-2.5876670000000002</v>
      </c>
      <c r="J11" s="21">
        <v>288.05599999999998</v>
      </c>
      <c r="K11" s="21">
        <v>10</v>
      </c>
      <c r="L11" s="21" t="b">
        <f t="shared" si="1"/>
        <v>0</v>
      </c>
      <c r="R11" s="26" t="s">
        <v>483</v>
      </c>
      <c r="S11" s="21">
        <v>867.96140000000003</v>
      </c>
      <c r="V11" s="21" t="s">
        <v>1102</v>
      </c>
      <c r="W11" s="46">
        <v>3.9E-2</v>
      </c>
    </row>
    <row r="12" spans="1:31" x14ac:dyDescent="0.25">
      <c r="A12" s="21">
        <v>11</v>
      </c>
      <c r="B12" s="26" t="s">
        <v>28</v>
      </c>
      <c r="C12" s="26" t="s">
        <v>86</v>
      </c>
      <c r="D12" s="26" t="s">
        <v>217</v>
      </c>
      <c r="E12" s="21">
        <v>3763</v>
      </c>
      <c r="F12" s="21">
        <v>1897</v>
      </c>
      <c r="G12" s="21">
        <v>1866</v>
      </c>
      <c r="H12" s="21">
        <v>36.957419999999999</v>
      </c>
      <c r="I12" s="21">
        <v>-2.5700750000000001</v>
      </c>
      <c r="J12" s="21">
        <v>523.19629999999995</v>
      </c>
      <c r="K12" s="21">
        <v>11</v>
      </c>
      <c r="L12" s="21" t="b">
        <f t="shared" si="1"/>
        <v>0</v>
      </c>
      <c r="R12" s="26" t="s">
        <v>926</v>
      </c>
      <c r="S12" s="21">
        <v>674.49900000000002</v>
      </c>
      <c r="V12" s="21" t="s">
        <v>1105</v>
      </c>
      <c r="W12" s="46">
        <f>AVERAGE(0.039,0.029)</f>
        <v>3.4000000000000002E-2</v>
      </c>
    </row>
    <row r="13" spans="1:31" x14ac:dyDescent="0.25">
      <c r="A13" s="21">
        <v>12</v>
      </c>
      <c r="B13" s="26" t="s">
        <v>28</v>
      </c>
      <c r="C13" s="26" t="s">
        <v>87</v>
      </c>
      <c r="D13" s="26" t="s">
        <v>218</v>
      </c>
      <c r="E13" s="21">
        <v>220</v>
      </c>
      <c r="F13" s="21">
        <v>113</v>
      </c>
      <c r="G13" s="21">
        <v>107</v>
      </c>
      <c r="H13" s="21">
        <v>36.966299999999997</v>
      </c>
      <c r="I13" s="21">
        <v>-2.6019939999999999</v>
      </c>
      <c r="J13" s="21">
        <v>420.48719999999997</v>
      </c>
      <c r="K13" s="21">
        <v>12</v>
      </c>
      <c r="L13" s="21" t="b">
        <f t="shared" si="1"/>
        <v>0</v>
      </c>
      <c r="R13" s="26" t="s">
        <v>927</v>
      </c>
      <c r="S13" s="21">
        <v>165.98939999999999</v>
      </c>
      <c r="V13" s="21" t="s">
        <v>1106</v>
      </c>
      <c r="W13" s="46">
        <f>AVERAGE(AVERAGE(0.038,0.072),AVERAGE(0.035,0.042))</f>
        <v>4.675E-2</v>
      </c>
    </row>
    <row r="14" spans="1:31" x14ac:dyDescent="0.25">
      <c r="A14" s="21">
        <v>13</v>
      </c>
      <c r="B14" s="26" t="s">
        <v>28</v>
      </c>
      <c r="C14" s="26" t="s">
        <v>89</v>
      </c>
      <c r="D14" s="26" t="s">
        <v>28</v>
      </c>
      <c r="E14" s="21">
        <v>194203</v>
      </c>
      <c r="F14" s="21">
        <v>94475</v>
      </c>
      <c r="G14" s="21">
        <v>99728</v>
      </c>
      <c r="H14" s="21">
        <v>36.840159999999997</v>
      </c>
      <c r="I14" s="21">
        <v>-2.4679220000000002</v>
      </c>
      <c r="J14" s="21">
        <v>27.00703</v>
      </c>
      <c r="K14" s="21">
        <v>13</v>
      </c>
      <c r="L14" s="21" t="b">
        <f t="shared" si="1"/>
        <v>0</v>
      </c>
      <c r="R14" s="26" t="s">
        <v>210</v>
      </c>
      <c r="S14" s="21">
        <v>481.31229999999999</v>
      </c>
      <c r="V14" s="21" t="s">
        <v>1107</v>
      </c>
      <c r="W14" s="46">
        <f>AVERAGE(0.028,AVERAGE(0.035,0.032),AVERAGE(0.03,0.027),AVERAGE(0.024,0.025),0.04)</f>
        <v>3.09E-2</v>
      </c>
    </row>
    <row r="15" spans="1:31" x14ac:dyDescent="0.25">
      <c r="A15" s="21">
        <v>14</v>
      </c>
      <c r="B15" s="26" t="s">
        <v>28</v>
      </c>
      <c r="C15" s="26" t="s">
        <v>88</v>
      </c>
      <c r="D15" s="26" t="s">
        <v>219</v>
      </c>
      <c r="E15" s="21">
        <v>173</v>
      </c>
      <c r="F15" s="21">
        <v>85</v>
      </c>
      <c r="G15" s="21">
        <v>88</v>
      </c>
      <c r="H15" s="21">
        <v>37.002360000000003</v>
      </c>
      <c r="I15" s="21">
        <v>-2.7900710000000002</v>
      </c>
      <c r="J15" s="21">
        <v>831.13430000000005</v>
      </c>
      <c r="K15" s="21">
        <v>14</v>
      </c>
      <c r="L15" s="21" t="b">
        <f t="shared" si="1"/>
        <v>0</v>
      </c>
      <c r="R15" s="26" t="s">
        <v>729</v>
      </c>
      <c r="S15" s="21">
        <v>838.44960000000003</v>
      </c>
      <c r="V15" s="21" t="s">
        <v>1108</v>
      </c>
      <c r="W15" s="46">
        <f>AVERAGE(0.025,AVERAGE(0.022,0.037))</f>
        <v>2.725E-2</v>
      </c>
    </row>
    <row r="16" spans="1:31" x14ac:dyDescent="0.25">
      <c r="A16" s="21">
        <v>15</v>
      </c>
      <c r="B16" s="26" t="s">
        <v>28</v>
      </c>
      <c r="C16" s="26" t="s">
        <v>90</v>
      </c>
      <c r="D16" s="26" t="s">
        <v>220</v>
      </c>
      <c r="E16" s="21">
        <v>138</v>
      </c>
      <c r="F16" s="21">
        <v>75</v>
      </c>
      <c r="G16" s="21">
        <v>63</v>
      </c>
      <c r="H16" s="21">
        <v>37.002000000000002</v>
      </c>
      <c r="I16" s="21">
        <v>-2.594579</v>
      </c>
      <c r="J16" s="21">
        <v>312.0394</v>
      </c>
      <c r="K16" s="21">
        <v>15</v>
      </c>
      <c r="L16" s="21" t="b">
        <f t="shared" si="1"/>
        <v>0</v>
      </c>
      <c r="R16" s="26" t="s">
        <v>211</v>
      </c>
      <c r="S16" s="21">
        <v>388.43459999999999</v>
      </c>
      <c r="V16" s="21" t="s">
        <v>1109</v>
      </c>
      <c r="W16" s="46">
        <f>AVERAGE(0.035,0.042,0.048,0.058)</f>
        <v>4.5749999999999999E-2</v>
      </c>
    </row>
    <row r="17" spans="1:23" x14ac:dyDescent="0.25">
      <c r="A17" s="21">
        <v>16</v>
      </c>
      <c r="B17" s="26" t="s">
        <v>28</v>
      </c>
      <c r="C17" s="26" t="s">
        <v>91</v>
      </c>
      <c r="D17" s="26" t="s">
        <v>221</v>
      </c>
      <c r="E17" s="21">
        <v>3195</v>
      </c>
      <c r="F17" s="21">
        <v>1597</v>
      </c>
      <c r="G17" s="21">
        <v>1598</v>
      </c>
      <c r="H17" s="21">
        <v>37.245159999999998</v>
      </c>
      <c r="I17" s="21">
        <v>-1.917543</v>
      </c>
      <c r="J17" s="21">
        <v>107.26130000000001</v>
      </c>
      <c r="K17" s="21">
        <v>16</v>
      </c>
      <c r="L17" s="21" t="b">
        <f t="shared" si="1"/>
        <v>0</v>
      </c>
      <c r="R17" s="26" t="s">
        <v>484</v>
      </c>
      <c r="S17" s="21">
        <v>650.21379999999999</v>
      </c>
      <c r="W17" s="45">
        <v>0</v>
      </c>
    </row>
    <row r="18" spans="1:23" x14ac:dyDescent="0.25">
      <c r="A18" s="21">
        <v>17</v>
      </c>
      <c r="B18" s="26" t="s">
        <v>28</v>
      </c>
      <c r="C18" s="26" t="s">
        <v>92</v>
      </c>
      <c r="D18" s="26" t="s">
        <v>222</v>
      </c>
      <c r="E18" s="21">
        <v>4670</v>
      </c>
      <c r="F18" s="21">
        <v>2321</v>
      </c>
      <c r="G18" s="21">
        <v>2349</v>
      </c>
      <c r="H18" s="21">
        <v>37.350250000000003</v>
      </c>
      <c r="I18" s="21">
        <v>-2.0748669999999998</v>
      </c>
      <c r="J18" s="21">
        <v>288.08280000000002</v>
      </c>
      <c r="K18" s="21">
        <v>17</v>
      </c>
      <c r="L18" s="21" t="b">
        <f t="shared" si="1"/>
        <v>0</v>
      </c>
      <c r="R18" s="26" t="s">
        <v>485</v>
      </c>
      <c r="S18" s="21">
        <v>894.41610000000003</v>
      </c>
    </row>
    <row r="19" spans="1:23" x14ac:dyDescent="0.25">
      <c r="A19" s="21">
        <v>18</v>
      </c>
      <c r="B19" s="26" t="s">
        <v>28</v>
      </c>
      <c r="C19" s="26" t="s">
        <v>93</v>
      </c>
      <c r="D19" s="26" t="s">
        <v>223</v>
      </c>
      <c r="E19" s="21">
        <v>332</v>
      </c>
      <c r="F19" s="21">
        <v>165</v>
      </c>
      <c r="G19" s="21">
        <v>167</v>
      </c>
      <c r="H19" s="21">
        <v>37.349690000000002</v>
      </c>
      <c r="I19" s="21">
        <v>-2.4113959999999999</v>
      </c>
      <c r="J19" s="21">
        <v>625.52850000000001</v>
      </c>
      <c r="K19" s="21">
        <v>18</v>
      </c>
      <c r="L19" s="21" t="b">
        <f t="shared" si="1"/>
        <v>0</v>
      </c>
      <c r="R19" s="26" t="s">
        <v>212</v>
      </c>
      <c r="S19" s="21">
        <v>426.42680000000001</v>
      </c>
    </row>
    <row r="20" spans="1:23" x14ac:dyDescent="0.25">
      <c r="A20" s="21">
        <v>19</v>
      </c>
      <c r="B20" s="26" t="s">
        <v>28</v>
      </c>
      <c r="C20" s="26" t="s">
        <v>94</v>
      </c>
      <c r="D20" s="26" t="s">
        <v>224</v>
      </c>
      <c r="E20" s="21">
        <v>278</v>
      </c>
      <c r="F20" s="21">
        <v>142</v>
      </c>
      <c r="G20" s="21">
        <v>136</v>
      </c>
      <c r="H20" s="21">
        <v>37.260829999999999</v>
      </c>
      <c r="I20" s="21">
        <v>-2.454761</v>
      </c>
      <c r="J20" s="21">
        <v>1202.6310000000001</v>
      </c>
      <c r="K20" s="21">
        <v>19</v>
      </c>
      <c r="L20" s="21" t="b">
        <f t="shared" si="1"/>
        <v>0</v>
      </c>
      <c r="R20" s="26" t="s">
        <v>486</v>
      </c>
      <c r="S20" s="21">
        <v>1115.9749999999999</v>
      </c>
    </row>
    <row r="21" spans="1:23" x14ac:dyDescent="0.25">
      <c r="A21" s="21">
        <v>20</v>
      </c>
      <c r="B21" s="26" t="s">
        <v>28</v>
      </c>
      <c r="C21" s="26" t="s">
        <v>95</v>
      </c>
      <c r="D21" s="26" t="s">
        <v>225</v>
      </c>
      <c r="E21" s="21">
        <v>336</v>
      </c>
      <c r="F21" s="21">
        <v>185</v>
      </c>
      <c r="G21" s="21">
        <v>151</v>
      </c>
      <c r="H21" s="21">
        <v>37.03116</v>
      </c>
      <c r="I21" s="21">
        <v>-2.9964689999999998</v>
      </c>
      <c r="J21" s="21">
        <v>1271.1659999999999</v>
      </c>
      <c r="K21" s="21">
        <v>20</v>
      </c>
      <c r="L21" s="21" t="b">
        <f t="shared" si="1"/>
        <v>0</v>
      </c>
      <c r="R21" s="26" t="s">
        <v>487</v>
      </c>
      <c r="S21" s="21">
        <v>247.2122</v>
      </c>
    </row>
    <row r="22" spans="1:23" x14ac:dyDescent="0.25">
      <c r="A22" s="21">
        <v>21</v>
      </c>
      <c r="B22" s="26" t="s">
        <v>28</v>
      </c>
      <c r="C22" s="26" t="s">
        <v>96</v>
      </c>
      <c r="D22" s="26" t="s">
        <v>226</v>
      </c>
      <c r="E22" s="21">
        <v>216</v>
      </c>
      <c r="F22" s="21">
        <v>109</v>
      </c>
      <c r="G22" s="21">
        <v>107</v>
      </c>
      <c r="H22" s="21">
        <v>37.330910000000003</v>
      </c>
      <c r="I22" s="21">
        <v>-2.4356599999999999</v>
      </c>
      <c r="J22" s="21">
        <v>816.22080000000005</v>
      </c>
      <c r="K22" s="21">
        <v>21</v>
      </c>
      <c r="L22" s="21" t="b">
        <f t="shared" si="1"/>
        <v>0</v>
      </c>
      <c r="R22" s="26" t="s">
        <v>488</v>
      </c>
      <c r="S22" s="21">
        <v>728.18439999999998</v>
      </c>
    </row>
    <row r="23" spans="1:23" x14ac:dyDescent="0.25">
      <c r="A23" s="21">
        <v>22</v>
      </c>
      <c r="B23" s="26" t="s">
        <v>28</v>
      </c>
      <c r="C23" s="26" t="s">
        <v>97</v>
      </c>
      <c r="D23" s="26" t="s">
        <v>227</v>
      </c>
      <c r="E23" s="21">
        <v>990</v>
      </c>
      <c r="F23" s="21">
        <v>484</v>
      </c>
      <c r="G23" s="21">
        <v>506</v>
      </c>
      <c r="H23" s="21">
        <v>37.189639999999997</v>
      </c>
      <c r="I23" s="21">
        <v>-1.9818979999999999</v>
      </c>
      <c r="J23" s="21">
        <v>391.56</v>
      </c>
      <c r="K23" s="21">
        <v>22</v>
      </c>
      <c r="L23" s="21" t="b">
        <f t="shared" si="1"/>
        <v>0</v>
      </c>
      <c r="R23" s="26" t="s">
        <v>928</v>
      </c>
      <c r="S23" s="21">
        <v>55.897190000000002</v>
      </c>
    </row>
    <row r="24" spans="1:23" x14ac:dyDescent="0.25">
      <c r="A24" s="21">
        <v>23</v>
      </c>
      <c r="B24" s="26" t="s">
        <v>28</v>
      </c>
      <c r="C24" s="26" t="s">
        <v>98</v>
      </c>
      <c r="D24" s="26" t="s">
        <v>228</v>
      </c>
      <c r="E24" s="21">
        <v>119</v>
      </c>
      <c r="F24" s="21">
        <v>55</v>
      </c>
      <c r="G24" s="21">
        <v>64</v>
      </c>
      <c r="H24" s="21">
        <v>37.012</v>
      </c>
      <c r="I24" s="21">
        <v>-2.7909280000000001</v>
      </c>
      <c r="J24" s="21">
        <v>919.23469999999998</v>
      </c>
      <c r="K24" s="21">
        <v>23</v>
      </c>
      <c r="L24" s="21" t="b">
        <f t="shared" si="1"/>
        <v>0</v>
      </c>
      <c r="R24" s="26" t="s">
        <v>365</v>
      </c>
      <c r="S24" s="21">
        <v>158.3963</v>
      </c>
    </row>
    <row r="25" spans="1:23" x14ac:dyDescent="0.25">
      <c r="A25" s="21">
        <v>24</v>
      </c>
      <c r="B25" s="26" t="s">
        <v>28</v>
      </c>
      <c r="C25" s="26" t="s">
        <v>99</v>
      </c>
      <c r="D25" s="26" t="s">
        <v>229</v>
      </c>
      <c r="E25" s="21">
        <v>4183</v>
      </c>
      <c r="F25" s="21">
        <v>2071</v>
      </c>
      <c r="G25" s="21">
        <v>2112</v>
      </c>
      <c r="H25" s="21">
        <v>36.925870000000003</v>
      </c>
      <c r="I25" s="21">
        <v>-2.4556830000000001</v>
      </c>
      <c r="J25" s="21">
        <v>113.9746</v>
      </c>
      <c r="K25" s="21">
        <v>24</v>
      </c>
      <c r="L25" s="21" t="b">
        <f t="shared" si="1"/>
        <v>0</v>
      </c>
      <c r="R25" s="26" t="s">
        <v>929</v>
      </c>
      <c r="S25" s="21">
        <v>27.89068</v>
      </c>
    </row>
    <row r="26" spans="1:23" x14ac:dyDescent="0.25">
      <c r="A26" s="21">
        <v>25</v>
      </c>
      <c r="B26" s="26" t="s">
        <v>28</v>
      </c>
      <c r="C26" s="26" t="s">
        <v>101</v>
      </c>
      <c r="D26" s="26" t="s">
        <v>230</v>
      </c>
      <c r="E26" s="21">
        <v>78</v>
      </c>
      <c r="F26" s="21">
        <v>42</v>
      </c>
      <c r="G26" s="21">
        <v>36</v>
      </c>
      <c r="H26" s="21">
        <v>37.23124</v>
      </c>
      <c r="I26" s="21">
        <v>-2.2391070000000002</v>
      </c>
      <c r="J26" s="21">
        <v>945.0856</v>
      </c>
      <c r="K26" s="21">
        <v>25</v>
      </c>
      <c r="L26" s="21" t="b">
        <f t="shared" si="1"/>
        <v>0</v>
      </c>
      <c r="R26" s="26" t="s">
        <v>366</v>
      </c>
      <c r="S26" s="21">
        <v>623.33659999999998</v>
      </c>
    </row>
    <row r="27" spans="1:23" x14ac:dyDescent="0.25">
      <c r="A27" s="21">
        <v>26</v>
      </c>
      <c r="B27" s="26" t="s">
        <v>28</v>
      </c>
      <c r="C27" s="26" t="s">
        <v>103</v>
      </c>
      <c r="D27" s="26" t="s">
        <v>231</v>
      </c>
      <c r="E27" s="21">
        <v>283</v>
      </c>
      <c r="F27" s="21">
        <v>146</v>
      </c>
      <c r="G27" s="21">
        <v>137</v>
      </c>
      <c r="H27" s="21">
        <v>37.211750000000002</v>
      </c>
      <c r="I27" s="21">
        <v>-2.2416849999999999</v>
      </c>
      <c r="J27" s="21">
        <v>933.74749999999995</v>
      </c>
      <c r="K27" s="21">
        <v>26</v>
      </c>
      <c r="L27" s="21" t="b">
        <f t="shared" si="1"/>
        <v>0</v>
      </c>
      <c r="R27" s="26" t="s">
        <v>730</v>
      </c>
      <c r="S27" s="21">
        <v>929.46979999999996</v>
      </c>
    </row>
    <row r="28" spans="1:23" x14ac:dyDescent="0.25">
      <c r="A28" s="21">
        <v>27</v>
      </c>
      <c r="B28" s="26" t="s">
        <v>28</v>
      </c>
      <c r="C28" s="26" t="s">
        <v>104</v>
      </c>
      <c r="D28" s="26" t="s">
        <v>232</v>
      </c>
      <c r="E28" s="21">
        <v>258</v>
      </c>
      <c r="F28" s="21">
        <v>145</v>
      </c>
      <c r="G28" s="21">
        <v>113</v>
      </c>
      <c r="H28" s="21">
        <v>36.986519999999999</v>
      </c>
      <c r="I28" s="21">
        <v>-2.6194199999999999</v>
      </c>
      <c r="J28" s="21">
        <v>319.8048</v>
      </c>
      <c r="K28" s="21">
        <v>27</v>
      </c>
      <c r="L28" s="21" t="b">
        <f t="shared" si="1"/>
        <v>0</v>
      </c>
      <c r="R28" s="26" t="s">
        <v>410</v>
      </c>
      <c r="S28" s="21">
        <v>611.31100000000004</v>
      </c>
    </row>
    <row r="29" spans="1:23" x14ac:dyDescent="0.25">
      <c r="A29" s="21">
        <v>28</v>
      </c>
      <c r="B29" s="26" t="s">
        <v>28</v>
      </c>
      <c r="C29" s="26" t="s">
        <v>102</v>
      </c>
      <c r="D29" s="26" t="s">
        <v>233</v>
      </c>
      <c r="E29" s="21">
        <v>15174</v>
      </c>
      <c r="F29" s="21">
        <v>7653</v>
      </c>
      <c r="G29" s="21">
        <v>7521</v>
      </c>
      <c r="H29" s="21">
        <v>36.846440000000001</v>
      </c>
      <c r="I29" s="21">
        <v>-2.9494250000000002</v>
      </c>
      <c r="J29" s="21">
        <v>340.78629999999998</v>
      </c>
      <c r="K29" s="21">
        <v>28</v>
      </c>
      <c r="L29" s="21" t="b">
        <f t="shared" si="1"/>
        <v>0</v>
      </c>
      <c r="R29" s="26" t="s">
        <v>826</v>
      </c>
      <c r="S29" s="21">
        <v>506.84309999999999</v>
      </c>
    </row>
    <row r="30" spans="1:23" x14ac:dyDescent="0.25">
      <c r="A30" s="21">
        <v>29</v>
      </c>
      <c r="B30" s="26" t="s">
        <v>28</v>
      </c>
      <c r="C30" s="26" t="s">
        <v>105</v>
      </c>
      <c r="D30" s="26" t="s">
        <v>234</v>
      </c>
      <c r="E30" s="21">
        <v>1342</v>
      </c>
      <c r="F30" s="21">
        <v>698</v>
      </c>
      <c r="G30" s="21">
        <v>644</v>
      </c>
      <c r="H30" s="21">
        <v>37.009729999999998</v>
      </c>
      <c r="I30" s="21">
        <v>-2.739681</v>
      </c>
      <c r="J30" s="21">
        <v>607.97450000000003</v>
      </c>
      <c r="K30" s="21">
        <v>29</v>
      </c>
      <c r="L30" s="21" t="b">
        <f t="shared" si="1"/>
        <v>0</v>
      </c>
      <c r="R30" s="26" t="s">
        <v>731</v>
      </c>
      <c r="S30" s="21">
        <v>660.81230000000005</v>
      </c>
    </row>
    <row r="31" spans="1:23" x14ac:dyDescent="0.25">
      <c r="A31" s="21">
        <v>30</v>
      </c>
      <c r="B31" s="26" t="s">
        <v>28</v>
      </c>
      <c r="C31" s="26" t="s">
        <v>106</v>
      </c>
      <c r="D31" s="26" t="s">
        <v>235</v>
      </c>
      <c r="E31" s="21">
        <v>3580</v>
      </c>
      <c r="F31" s="21">
        <v>1805</v>
      </c>
      <c r="G31" s="21">
        <v>1775</v>
      </c>
      <c r="H31" s="21">
        <v>37.352589999999999</v>
      </c>
      <c r="I31" s="21">
        <v>-2.1936260000000001</v>
      </c>
      <c r="J31" s="21">
        <v>388.65530000000001</v>
      </c>
      <c r="K31" s="21">
        <v>30</v>
      </c>
      <c r="L31" s="21" t="b">
        <f t="shared" si="1"/>
        <v>0</v>
      </c>
      <c r="R31" s="26" t="s">
        <v>213</v>
      </c>
      <c r="S31" s="21">
        <v>744.69560000000001</v>
      </c>
    </row>
    <row r="32" spans="1:23" x14ac:dyDescent="0.25">
      <c r="A32" s="21">
        <v>31</v>
      </c>
      <c r="B32" s="26" t="s">
        <v>28</v>
      </c>
      <c r="C32" s="26" t="s">
        <v>107</v>
      </c>
      <c r="D32" s="26" t="s">
        <v>236</v>
      </c>
      <c r="E32" s="21">
        <v>7838</v>
      </c>
      <c r="F32" s="21">
        <v>4034</v>
      </c>
      <c r="G32" s="21">
        <v>3804</v>
      </c>
      <c r="H32" s="21">
        <v>36.996589999999998</v>
      </c>
      <c r="I32" s="21">
        <v>-1.8950119999999999</v>
      </c>
      <c r="J32" s="21">
        <v>6.721787</v>
      </c>
      <c r="K32" s="21">
        <v>31</v>
      </c>
      <c r="L32" s="21" t="b">
        <f t="shared" si="1"/>
        <v>0</v>
      </c>
      <c r="R32" s="26" t="s">
        <v>930</v>
      </c>
      <c r="S32" s="21">
        <v>31.591249999999999</v>
      </c>
    </row>
    <row r="33" spans="1:19" x14ac:dyDescent="0.25">
      <c r="A33" s="21">
        <v>32</v>
      </c>
      <c r="B33" s="26" t="s">
        <v>28</v>
      </c>
      <c r="C33" s="26" t="s">
        <v>108</v>
      </c>
      <c r="D33" s="26" t="s">
        <v>237</v>
      </c>
      <c r="E33" s="21">
        <v>147</v>
      </c>
      <c r="F33" s="21">
        <v>71</v>
      </c>
      <c r="G33" s="21">
        <v>76</v>
      </c>
      <c r="H33" s="21">
        <v>37.184640000000002</v>
      </c>
      <c r="I33" s="21">
        <v>-2.439524</v>
      </c>
      <c r="J33" s="21">
        <v>943.70709999999997</v>
      </c>
      <c r="K33" s="21">
        <v>32</v>
      </c>
      <c r="L33" s="21" t="b">
        <f t="shared" si="1"/>
        <v>0</v>
      </c>
      <c r="R33" s="26" t="s">
        <v>214</v>
      </c>
      <c r="S33" s="21">
        <v>955.13310000000001</v>
      </c>
    </row>
    <row r="34" spans="1:19" x14ac:dyDescent="0.25">
      <c r="A34" s="21">
        <v>33</v>
      </c>
      <c r="B34" s="26" t="s">
        <v>28</v>
      </c>
      <c r="C34" s="26" t="s">
        <v>111</v>
      </c>
      <c r="D34" s="26" t="s">
        <v>238</v>
      </c>
      <c r="E34" s="21">
        <v>275</v>
      </c>
      <c r="F34" s="21">
        <v>145</v>
      </c>
      <c r="G34" s="21">
        <v>130</v>
      </c>
      <c r="H34" s="21">
        <v>37.266330000000004</v>
      </c>
      <c r="I34" s="21">
        <v>-2.2578969999999998</v>
      </c>
      <c r="J34" s="21">
        <v>789.67909999999995</v>
      </c>
      <c r="K34" s="21">
        <v>33</v>
      </c>
      <c r="L34" s="21" t="b">
        <f t="shared" si="1"/>
        <v>0</v>
      </c>
      <c r="R34" s="26" t="s">
        <v>215</v>
      </c>
      <c r="S34" s="21">
        <v>1018.354</v>
      </c>
    </row>
    <row r="35" spans="1:19" x14ac:dyDescent="0.25">
      <c r="A35" s="21">
        <v>34</v>
      </c>
      <c r="B35" s="26" t="s">
        <v>28</v>
      </c>
      <c r="C35" s="26" t="s">
        <v>112</v>
      </c>
      <c r="D35" s="26" t="s">
        <v>239</v>
      </c>
      <c r="E35" s="21">
        <v>1604</v>
      </c>
      <c r="F35" s="21">
        <v>812</v>
      </c>
      <c r="G35" s="21">
        <v>792</v>
      </c>
      <c r="H35" s="21">
        <v>37.595599999999997</v>
      </c>
      <c r="I35" s="21">
        <v>-2.2648389999999998</v>
      </c>
      <c r="J35" s="21">
        <v>1039.713</v>
      </c>
      <c r="K35" s="21">
        <v>34</v>
      </c>
      <c r="L35" s="21" t="b">
        <f t="shared" si="1"/>
        <v>0</v>
      </c>
      <c r="R35" s="26" t="s">
        <v>732</v>
      </c>
      <c r="S35" s="21">
        <v>700.27110000000005</v>
      </c>
    </row>
    <row r="36" spans="1:19" x14ac:dyDescent="0.25">
      <c r="A36" s="21">
        <v>35</v>
      </c>
      <c r="B36" s="26" t="s">
        <v>28</v>
      </c>
      <c r="C36" s="26" t="s">
        <v>109</v>
      </c>
      <c r="D36" s="26" t="s">
        <v>240</v>
      </c>
      <c r="E36" s="21">
        <v>183</v>
      </c>
      <c r="F36" s="21">
        <v>103</v>
      </c>
      <c r="G36" s="21">
        <v>80</v>
      </c>
      <c r="H36" s="21">
        <v>37.261989999999997</v>
      </c>
      <c r="I36" s="21">
        <v>-2.210223</v>
      </c>
      <c r="J36" s="21">
        <v>606.99620000000004</v>
      </c>
      <c r="K36" s="21">
        <v>35</v>
      </c>
      <c r="L36" s="21" t="b">
        <f t="shared" si="1"/>
        <v>0</v>
      </c>
      <c r="R36" s="26" t="s">
        <v>489</v>
      </c>
      <c r="S36" s="21">
        <v>1274.0150000000001</v>
      </c>
    </row>
    <row r="37" spans="1:19" x14ac:dyDescent="0.25">
      <c r="A37" s="21">
        <v>36</v>
      </c>
      <c r="B37" s="26" t="s">
        <v>28</v>
      </c>
      <c r="C37" s="26" t="s">
        <v>110</v>
      </c>
      <c r="D37" s="26" t="s">
        <v>241</v>
      </c>
      <c r="E37" s="21">
        <v>13292</v>
      </c>
      <c r="F37" s="21">
        <v>6882</v>
      </c>
      <c r="G37" s="21">
        <v>6410</v>
      </c>
      <c r="H37" s="21">
        <v>37.297089999999997</v>
      </c>
      <c r="I37" s="21">
        <v>-1.8814759999999999</v>
      </c>
      <c r="J37" s="21">
        <v>97.291030000000006</v>
      </c>
      <c r="K37" s="21">
        <v>36</v>
      </c>
      <c r="L37" s="21" t="b">
        <f t="shared" si="1"/>
        <v>0</v>
      </c>
      <c r="R37" s="26" t="s">
        <v>490</v>
      </c>
      <c r="S37" s="21">
        <v>915.64509999999996</v>
      </c>
    </row>
    <row r="38" spans="1:19" x14ac:dyDescent="0.25">
      <c r="A38" s="21">
        <v>37</v>
      </c>
      <c r="B38" s="26" t="s">
        <v>28</v>
      </c>
      <c r="C38" s="26" t="s">
        <v>113</v>
      </c>
      <c r="D38" s="26" t="s">
        <v>242</v>
      </c>
      <c r="E38" s="21">
        <v>3979</v>
      </c>
      <c r="F38" s="21">
        <v>1968</v>
      </c>
      <c r="G38" s="21">
        <v>2011</v>
      </c>
      <c r="H38" s="21">
        <v>36.821210000000001</v>
      </c>
      <c r="I38" s="21">
        <v>-2.8706969999999998</v>
      </c>
      <c r="J38" s="21">
        <v>415.96440000000001</v>
      </c>
      <c r="K38" s="21">
        <v>37</v>
      </c>
      <c r="L38" s="21" t="b">
        <f t="shared" si="1"/>
        <v>0</v>
      </c>
      <c r="R38" s="26" t="s">
        <v>827</v>
      </c>
      <c r="S38" s="21">
        <v>890.33389999999997</v>
      </c>
    </row>
    <row r="39" spans="1:19" x14ac:dyDescent="0.25">
      <c r="A39" s="21">
        <v>38</v>
      </c>
      <c r="B39" s="26" t="s">
        <v>28</v>
      </c>
      <c r="C39" s="26" t="s">
        <v>180</v>
      </c>
      <c r="D39" s="26" t="s">
        <v>243</v>
      </c>
      <c r="E39" s="21">
        <v>85961</v>
      </c>
      <c r="F39" s="21">
        <v>45335</v>
      </c>
      <c r="G39" s="21">
        <v>40626</v>
      </c>
      <c r="H39" s="21">
        <v>36.775060000000003</v>
      </c>
      <c r="I39" s="21">
        <v>-2.812738</v>
      </c>
      <c r="J39" s="21">
        <v>80</v>
      </c>
      <c r="K39" s="21">
        <v>38</v>
      </c>
      <c r="L39" s="21" t="b">
        <f t="shared" si="1"/>
        <v>0</v>
      </c>
      <c r="R39" s="26" t="s">
        <v>828</v>
      </c>
      <c r="S39" s="21">
        <v>853.52599999999995</v>
      </c>
    </row>
    <row r="40" spans="1:19" x14ac:dyDescent="0.25">
      <c r="A40" s="21">
        <v>39</v>
      </c>
      <c r="B40" s="26" t="s">
        <v>28</v>
      </c>
      <c r="C40" s="26" t="s">
        <v>116</v>
      </c>
      <c r="D40" s="26" t="s">
        <v>244</v>
      </c>
      <c r="E40" s="21">
        <v>437</v>
      </c>
      <c r="F40" s="21">
        <v>246</v>
      </c>
      <c r="G40" s="21">
        <v>191</v>
      </c>
      <c r="H40" s="21">
        <v>36.877040000000001</v>
      </c>
      <c r="I40" s="21">
        <v>-2.6021070000000002</v>
      </c>
      <c r="J40" s="21">
        <v>720.63390000000004</v>
      </c>
      <c r="K40" s="21">
        <v>39</v>
      </c>
      <c r="L40" s="21" t="b">
        <f t="shared" si="1"/>
        <v>0</v>
      </c>
      <c r="R40" s="26" t="s">
        <v>931</v>
      </c>
      <c r="S40" s="21">
        <v>11.909459999999999</v>
      </c>
    </row>
    <row r="41" spans="1:19" x14ac:dyDescent="0.25">
      <c r="A41" s="21">
        <v>40</v>
      </c>
      <c r="B41" s="26" t="s">
        <v>28</v>
      </c>
      <c r="C41" s="26" t="s">
        <v>118</v>
      </c>
      <c r="D41" s="26" t="s">
        <v>245</v>
      </c>
      <c r="E41" s="21">
        <v>688</v>
      </c>
      <c r="F41" s="21">
        <v>385</v>
      </c>
      <c r="G41" s="21">
        <v>303</v>
      </c>
      <c r="H41" s="21">
        <v>36.868920000000003</v>
      </c>
      <c r="I41" s="21">
        <v>-2.657921</v>
      </c>
      <c r="J41" s="21">
        <v>822.4271</v>
      </c>
      <c r="K41" s="21">
        <v>40</v>
      </c>
      <c r="L41" s="21" t="b">
        <f t="shared" si="1"/>
        <v>0</v>
      </c>
      <c r="R41" s="26" t="s">
        <v>932</v>
      </c>
      <c r="S41" s="21">
        <v>426.4051</v>
      </c>
    </row>
    <row r="42" spans="1:19" x14ac:dyDescent="0.25">
      <c r="A42" s="21">
        <v>41</v>
      </c>
      <c r="B42" s="26" t="s">
        <v>28</v>
      </c>
      <c r="C42" s="26" t="s">
        <v>119</v>
      </c>
      <c r="D42" s="26" t="s">
        <v>246</v>
      </c>
      <c r="E42" s="21">
        <v>2143</v>
      </c>
      <c r="F42" s="21">
        <v>1118</v>
      </c>
      <c r="G42" s="21">
        <v>1025</v>
      </c>
      <c r="H42" s="21">
        <v>37.358879999999999</v>
      </c>
      <c r="I42" s="21">
        <v>-2.2629640000000002</v>
      </c>
      <c r="J42" s="21">
        <v>448.70179999999999</v>
      </c>
      <c r="K42" s="21">
        <v>41</v>
      </c>
      <c r="L42" s="21" t="b">
        <f t="shared" si="1"/>
        <v>0</v>
      </c>
      <c r="R42" s="26" t="s">
        <v>367</v>
      </c>
      <c r="S42" s="21">
        <v>213.08330000000001</v>
      </c>
    </row>
    <row r="43" spans="1:19" x14ac:dyDescent="0.25">
      <c r="A43" s="21">
        <v>42</v>
      </c>
      <c r="B43" s="26" t="s">
        <v>28</v>
      </c>
      <c r="C43" s="26" t="s">
        <v>120</v>
      </c>
      <c r="D43" s="26" t="s">
        <v>247</v>
      </c>
      <c r="E43" s="21">
        <v>2134</v>
      </c>
      <c r="F43" s="21">
        <v>1078</v>
      </c>
      <c r="G43" s="21">
        <v>1056</v>
      </c>
      <c r="H43" s="21">
        <v>37.171010000000003</v>
      </c>
      <c r="I43" s="21">
        <v>-2.840678</v>
      </c>
      <c r="J43" s="21">
        <v>950.41629999999998</v>
      </c>
      <c r="K43" s="21">
        <v>42</v>
      </c>
      <c r="L43" s="21" t="b">
        <f t="shared" si="1"/>
        <v>0</v>
      </c>
      <c r="R43" s="26" t="s">
        <v>491</v>
      </c>
      <c r="S43" s="21">
        <v>596.21010000000001</v>
      </c>
    </row>
    <row r="44" spans="1:19" x14ac:dyDescent="0.25">
      <c r="A44" s="21">
        <v>43</v>
      </c>
      <c r="B44" s="26" t="s">
        <v>28</v>
      </c>
      <c r="C44" s="26" t="s">
        <v>121</v>
      </c>
      <c r="D44" s="26" t="s">
        <v>248</v>
      </c>
      <c r="E44" s="21">
        <v>1020</v>
      </c>
      <c r="F44" s="21">
        <v>532</v>
      </c>
      <c r="G44" s="21">
        <v>488</v>
      </c>
      <c r="H44" s="21">
        <v>36.979419999999998</v>
      </c>
      <c r="I44" s="21">
        <v>-2.8583560000000001</v>
      </c>
      <c r="J44" s="21">
        <v>858.46969999999999</v>
      </c>
      <c r="K44" s="21">
        <v>43</v>
      </c>
      <c r="L44" s="21" t="b">
        <f t="shared" si="1"/>
        <v>0</v>
      </c>
      <c r="R44" s="26" t="s">
        <v>829</v>
      </c>
      <c r="S44" s="21">
        <v>76.225040000000007</v>
      </c>
    </row>
    <row r="45" spans="1:19" x14ac:dyDescent="0.25">
      <c r="A45" s="21">
        <v>44</v>
      </c>
      <c r="B45" s="26" t="s">
        <v>28</v>
      </c>
      <c r="C45" s="26" t="s">
        <v>122</v>
      </c>
      <c r="D45" s="26" t="s">
        <v>249</v>
      </c>
      <c r="E45" s="21">
        <v>3027</v>
      </c>
      <c r="F45" s="21">
        <v>1577</v>
      </c>
      <c r="G45" s="21">
        <v>1450</v>
      </c>
      <c r="H45" s="21">
        <v>36.95393</v>
      </c>
      <c r="I45" s="21">
        <v>-2.4929359999999998</v>
      </c>
      <c r="J45" s="21">
        <v>169.00040000000001</v>
      </c>
      <c r="K45" s="21">
        <v>44</v>
      </c>
      <c r="L45" s="21" t="b">
        <f t="shared" si="1"/>
        <v>0</v>
      </c>
      <c r="R45" s="26" t="s">
        <v>830</v>
      </c>
      <c r="S45" s="21">
        <v>711.45029999999997</v>
      </c>
    </row>
    <row r="46" spans="1:19" x14ac:dyDescent="0.25">
      <c r="A46" s="21">
        <v>45</v>
      </c>
      <c r="B46" s="26" t="s">
        <v>28</v>
      </c>
      <c r="C46" s="26" t="s">
        <v>123</v>
      </c>
      <c r="D46" s="26" t="s">
        <v>250</v>
      </c>
      <c r="E46" s="21">
        <v>2973</v>
      </c>
      <c r="F46" s="21">
        <v>1521</v>
      </c>
      <c r="G46" s="21">
        <v>1452</v>
      </c>
      <c r="H46" s="21">
        <v>37.16948</v>
      </c>
      <c r="I46" s="21">
        <v>-1.940099</v>
      </c>
      <c r="J46" s="21">
        <v>113.9905</v>
      </c>
      <c r="K46" s="21">
        <v>45</v>
      </c>
      <c r="L46" s="21" t="b">
        <f t="shared" si="1"/>
        <v>0</v>
      </c>
      <c r="R46" s="26" t="s">
        <v>368</v>
      </c>
      <c r="S46" s="21">
        <v>22.405439999999999</v>
      </c>
    </row>
    <row r="47" spans="1:19" x14ac:dyDescent="0.25">
      <c r="A47" s="21">
        <v>46</v>
      </c>
      <c r="B47" s="26" t="s">
        <v>28</v>
      </c>
      <c r="C47" s="26" t="s">
        <v>124</v>
      </c>
      <c r="D47" s="26" t="s">
        <v>251</v>
      </c>
      <c r="E47" s="21">
        <v>8577</v>
      </c>
      <c r="F47" s="21">
        <v>4412</v>
      </c>
      <c r="G47" s="21">
        <v>4165</v>
      </c>
      <c r="H47" s="21">
        <v>37.179250000000003</v>
      </c>
      <c r="I47" s="21">
        <v>-1.821901</v>
      </c>
      <c r="J47" s="21">
        <v>2.5661499999999999</v>
      </c>
      <c r="K47" s="21">
        <v>46</v>
      </c>
      <c r="L47" s="21" t="b">
        <f t="shared" si="1"/>
        <v>0</v>
      </c>
      <c r="R47" s="26" t="s">
        <v>369</v>
      </c>
      <c r="S47" s="21">
        <v>370.12400000000002</v>
      </c>
    </row>
    <row r="48" spans="1:19" x14ac:dyDescent="0.25">
      <c r="A48" s="21">
        <v>47</v>
      </c>
      <c r="B48" s="26" t="s">
        <v>28</v>
      </c>
      <c r="C48" s="26" t="s">
        <v>125</v>
      </c>
      <c r="D48" s="26" t="s">
        <v>252</v>
      </c>
      <c r="E48" s="21">
        <v>1093</v>
      </c>
      <c r="F48" s="21">
        <v>568</v>
      </c>
      <c r="G48" s="21">
        <v>525</v>
      </c>
      <c r="H48" s="21">
        <v>37.120699999999999</v>
      </c>
      <c r="I48" s="21">
        <v>-2.5383049999999998</v>
      </c>
      <c r="J48" s="21">
        <v>750.5009</v>
      </c>
      <c r="K48" s="21">
        <v>47</v>
      </c>
      <c r="L48" s="21" t="b">
        <f t="shared" si="1"/>
        <v>0</v>
      </c>
      <c r="R48" s="26" t="s">
        <v>216</v>
      </c>
      <c r="S48" s="21">
        <v>288.05599999999998</v>
      </c>
    </row>
    <row r="49" spans="1:19" x14ac:dyDescent="0.25">
      <c r="A49" s="21">
        <v>48</v>
      </c>
      <c r="B49" s="26" t="s">
        <v>28</v>
      </c>
      <c r="C49" s="26" t="s">
        <v>126</v>
      </c>
      <c r="D49" s="26" t="s">
        <v>253</v>
      </c>
      <c r="E49" s="21">
        <v>515</v>
      </c>
      <c r="F49" s="21">
        <v>247</v>
      </c>
      <c r="G49" s="21">
        <v>268</v>
      </c>
      <c r="H49" s="21">
        <v>36.967880000000001</v>
      </c>
      <c r="I49" s="21">
        <v>-2.6114359999999999</v>
      </c>
      <c r="J49" s="21">
        <v>410.04469999999998</v>
      </c>
      <c r="K49" s="21">
        <v>48</v>
      </c>
      <c r="L49" s="21" t="b">
        <f t="shared" si="1"/>
        <v>0</v>
      </c>
      <c r="R49" s="26" t="s">
        <v>217</v>
      </c>
      <c r="S49" s="21">
        <v>523.19629999999995</v>
      </c>
    </row>
    <row r="50" spans="1:19" x14ac:dyDescent="0.25">
      <c r="A50" s="21">
        <v>49</v>
      </c>
      <c r="B50" s="26" t="s">
        <v>28</v>
      </c>
      <c r="C50" s="26" t="s">
        <v>127</v>
      </c>
      <c r="D50" s="26" t="s">
        <v>254</v>
      </c>
      <c r="E50" s="21">
        <v>16823</v>
      </c>
      <c r="F50" s="21">
        <v>8596</v>
      </c>
      <c r="G50" s="21">
        <v>8227</v>
      </c>
      <c r="H50" s="21">
        <v>36.884149999999998</v>
      </c>
      <c r="I50" s="21">
        <v>-2.435978</v>
      </c>
      <c r="J50" s="21">
        <v>72.529089999999997</v>
      </c>
      <c r="K50" s="21">
        <v>49</v>
      </c>
      <c r="L50" s="21" t="b">
        <f t="shared" si="1"/>
        <v>0</v>
      </c>
      <c r="R50" s="26" t="s">
        <v>492</v>
      </c>
      <c r="S50" s="21">
        <v>890.95299999999997</v>
      </c>
    </row>
    <row r="51" spans="1:19" x14ac:dyDescent="0.25">
      <c r="A51" s="21">
        <v>50</v>
      </c>
      <c r="B51" s="26" t="s">
        <v>28</v>
      </c>
      <c r="C51" s="26" t="s">
        <v>128</v>
      </c>
      <c r="D51" s="26" t="s">
        <v>255</v>
      </c>
      <c r="E51" s="21">
        <v>18530</v>
      </c>
      <c r="F51" s="21">
        <v>9204</v>
      </c>
      <c r="G51" s="21">
        <v>9326</v>
      </c>
      <c r="H51" s="21">
        <v>37.390630000000002</v>
      </c>
      <c r="I51" s="21">
        <v>-1.943684</v>
      </c>
      <c r="J51" s="21">
        <v>284.61169999999998</v>
      </c>
      <c r="K51" s="21">
        <v>50</v>
      </c>
      <c r="L51" s="21" t="b">
        <f t="shared" si="1"/>
        <v>0</v>
      </c>
      <c r="R51" s="26" t="s">
        <v>831</v>
      </c>
      <c r="S51" s="21">
        <v>55.9206</v>
      </c>
    </row>
    <row r="52" spans="1:19" x14ac:dyDescent="0.25">
      <c r="A52" s="21">
        <v>51</v>
      </c>
      <c r="B52" s="26" t="s">
        <v>28</v>
      </c>
      <c r="C52" s="26" t="s">
        <v>129</v>
      </c>
      <c r="D52" s="26" t="s">
        <v>256</v>
      </c>
      <c r="E52" s="21">
        <v>380</v>
      </c>
      <c r="F52" s="21">
        <v>199</v>
      </c>
      <c r="G52" s="21">
        <v>181</v>
      </c>
      <c r="H52" s="21">
        <v>36.985039999999998</v>
      </c>
      <c r="I52" s="21">
        <v>-2.6393019999999998</v>
      </c>
      <c r="J52" s="21">
        <v>428.11849999999998</v>
      </c>
      <c r="K52" s="21">
        <v>51</v>
      </c>
      <c r="L52" s="21" t="b">
        <f t="shared" si="1"/>
        <v>0</v>
      </c>
      <c r="R52" s="26" t="s">
        <v>832</v>
      </c>
      <c r="S52" s="21">
        <v>262.00319999999999</v>
      </c>
    </row>
    <row r="53" spans="1:19" x14ac:dyDescent="0.25">
      <c r="A53" s="21">
        <v>52</v>
      </c>
      <c r="B53" s="26" t="s">
        <v>28</v>
      </c>
      <c r="C53" s="26" t="s">
        <v>130</v>
      </c>
      <c r="D53" s="26" t="s">
        <v>257</v>
      </c>
      <c r="E53" s="21">
        <v>458</v>
      </c>
      <c r="F53" s="21">
        <v>225</v>
      </c>
      <c r="G53" s="21">
        <v>233</v>
      </c>
      <c r="H53" s="21">
        <v>36.993160000000003</v>
      </c>
      <c r="I53" s="21">
        <v>-2.659945</v>
      </c>
      <c r="J53" s="21">
        <v>434.57</v>
      </c>
      <c r="K53" s="21">
        <v>52</v>
      </c>
      <c r="L53" s="21" t="b">
        <f t="shared" si="1"/>
        <v>0</v>
      </c>
      <c r="R53" s="26" t="s">
        <v>493</v>
      </c>
      <c r="S53" s="21">
        <v>736.65279999999996</v>
      </c>
    </row>
    <row r="54" spans="1:19" x14ac:dyDescent="0.25">
      <c r="A54" s="21">
        <v>53</v>
      </c>
      <c r="B54" s="26" t="s">
        <v>28</v>
      </c>
      <c r="C54" s="26" t="s">
        <v>131</v>
      </c>
      <c r="D54" s="26" t="s">
        <v>258</v>
      </c>
      <c r="E54" s="21">
        <v>178</v>
      </c>
      <c r="F54" s="21">
        <v>100</v>
      </c>
      <c r="G54" s="21">
        <v>78</v>
      </c>
      <c r="H54" s="21">
        <v>37.296669999999999</v>
      </c>
      <c r="I54" s="21">
        <v>-2.3296009999999998</v>
      </c>
      <c r="J54" s="21">
        <v>854.08730000000003</v>
      </c>
      <c r="K54" s="21">
        <v>53</v>
      </c>
      <c r="L54" s="21" t="b">
        <f t="shared" si="1"/>
        <v>0</v>
      </c>
      <c r="R54" s="26" t="s">
        <v>218</v>
      </c>
      <c r="S54" s="21">
        <v>420.48719999999997</v>
      </c>
    </row>
    <row r="55" spans="1:19" x14ac:dyDescent="0.25">
      <c r="A55" s="21">
        <v>54</v>
      </c>
      <c r="B55" s="26" t="s">
        <v>28</v>
      </c>
      <c r="C55" s="26" t="s">
        <v>132</v>
      </c>
      <c r="D55" s="26" t="s">
        <v>259</v>
      </c>
      <c r="E55" s="21">
        <v>1574</v>
      </c>
      <c r="F55" s="21">
        <v>785</v>
      </c>
      <c r="G55" s="21">
        <v>789</v>
      </c>
      <c r="H55" s="21">
        <v>36.993839999999999</v>
      </c>
      <c r="I55" s="21">
        <v>-2.8892199999999999</v>
      </c>
      <c r="J55" s="21">
        <v>910.98940000000005</v>
      </c>
      <c r="K55" s="21">
        <v>54</v>
      </c>
      <c r="L55" s="21" t="b">
        <f t="shared" si="1"/>
        <v>0</v>
      </c>
      <c r="R55" s="26" t="s">
        <v>494</v>
      </c>
      <c r="S55" s="21">
        <v>692.77800000000002</v>
      </c>
    </row>
    <row r="56" spans="1:19" x14ac:dyDescent="0.25">
      <c r="A56" s="21">
        <v>55</v>
      </c>
      <c r="B56" s="26" t="s">
        <v>28</v>
      </c>
      <c r="C56" s="26" t="s">
        <v>133</v>
      </c>
      <c r="D56" s="26" t="s">
        <v>260</v>
      </c>
      <c r="E56" s="21">
        <v>431</v>
      </c>
      <c r="F56" s="21">
        <v>222</v>
      </c>
      <c r="G56" s="21">
        <v>209</v>
      </c>
      <c r="H56" s="21">
        <v>37.295270000000002</v>
      </c>
      <c r="I56" s="21">
        <v>-2.2199279999999999</v>
      </c>
      <c r="J56" s="21">
        <v>593.49649999999997</v>
      </c>
      <c r="K56" s="21">
        <v>55</v>
      </c>
      <c r="L56" s="21" t="b">
        <f t="shared" si="1"/>
        <v>0</v>
      </c>
      <c r="R56" s="26" t="s">
        <v>652</v>
      </c>
      <c r="S56" s="21">
        <v>36.698189999999997</v>
      </c>
    </row>
    <row r="57" spans="1:19" x14ac:dyDescent="0.25">
      <c r="A57" s="21">
        <v>56</v>
      </c>
      <c r="B57" s="26" t="s">
        <v>28</v>
      </c>
      <c r="C57" s="26" t="s">
        <v>135</v>
      </c>
      <c r="D57" s="26" t="s">
        <v>261</v>
      </c>
      <c r="E57" s="21">
        <v>1568</v>
      </c>
      <c r="F57" s="21">
        <v>762</v>
      </c>
      <c r="G57" s="21">
        <v>806</v>
      </c>
      <c r="H57" s="21">
        <v>37.215850000000003</v>
      </c>
      <c r="I57" s="21">
        <v>-2.0670549999999999</v>
      </c>
      <c r="J57" s="21">
        <v>521.52030000000002</v>
      </c>
      <c r="K57" s="21">
        <v>56</v>
      </c>
      <c r="L57" s="21" t="b">
        <f t="shared" si="1"/>
        <v>0</v>
      </c>
      <c r="R57" s="26" t="s">
        <v>833</v>
      </c>
      <c r="S57" s="21">
        <v>251.38380000000001</v>
      </c>
    </row>
    <row r="58" spans="1:19" x14ac:dyDescent="0.25">
      <c r="A58" s="21">
        <v>57</v>
      </c>
      <c r="B58" s="26" t="s">
        <v>28</v>
      </c>
      <c r="C58" s="26" t="s">
        <v>134</v>
      </c>
      <c r="D58" s="26" t="s">
        <v>262</v>
      </c>
      <c r="E58" s="21">
        <v>606</v>
      </c>
      <c r="F58" s="21">
        <v>315</v>
      </c>
      <c r="G58" s="21">
        <v>291</v>
      </c>
      <c r="H58" s="21">
        <v>37.041789999999999</v>
      </c>
      <c r="I58" s="21">
        <v>-2.2007059999999998</v>
      </c>
      <c r="J58" s="21">
        <v>533.87519999999995</v>
      </c>
      <c r="K58" s="21">
        <v>57</v>
      </c>
      <c r="L58" s="21" t="b">
        <f t="shared" si="1"/>
        <v>0</v>
      </c>
      <c r="R58" s="26" t="s">
        <v>933</v>
      </c>
      <c r="S58" s="21">
        <v>454.19560000000001</v>
      </c>
    </row>
    <row r="59" spans="1:19" x14ac:dyDescent="0.25">
      <c r="A59" s="21">
        <v>58</v>
      </c>
      <c r="B59" s="26" t="s">
        <v>28</v>
      </c>
      <c r="C59" s="26" t="s">
        <v>136</v>
      </c>
      <c r="D59" s="26" t="s">
        <v>263</v>
      </c>
      <c r="E59" s="21">
        <v>772</v>
      </c>
      <c r="F59" s="21">
        <v>382</v>
      </c>
      <c r="G59" s="21">
        <v>390</v>
      </c>
      <c r="H59" s="21">
        <v>37.399650000000001</v>
      </c>
      <c r="I59" s="21">
        <v>-2.4270740000000002</v>
      </c>
      <c r="J59" s="21">
        <v>901.75300000000004</v>
      </c>
      <c r="K59" s="21">
        <v>58</v>
      </c>
      <c r="L59" s="21" t="b">
        <f t="shared" si="1"/>
        <v>0</v>
      </c>
      <c r="R59" s="26" t="s">
        <v>834</v>
      </c>
      <c r="S59" s="21">
        <v>511.26069999999999</v>
      </c>
    </row>
    <row r="60" spans="1:19" x14ac:dyDescent="0.25">
      <c r="A60" s="21">
        <v>59</v>
      </c>
      <c r="B60" s="26" t="s">
        <v>28</v>
      </c>
      <c r="C60" s="26" t="s">
        <v>137</v>
      </c>
      <c r="D60" s="26" t="s">
        <v>264</v>
      </c>
      <c r="E60" s="21">
        <v>5676</v>
      </c>
      <c r="F60" s="21">
        <v>2904</v>
      </c>
      <c r="G60" s="21">
        <v>2772</v>
      </c>
      <c r="H60" s="21">
        <v>37.33229</v>
      </c>
      <c r="I60" s="21">
        <v>-2.3048920000000002</v>
      </c>
      <c r="J60" s="21">
        <v>538.73270000000002</v>
      </c>
      <c r="K60" s="21">
        <v>59</v>
      </c>
      <c r="L60" s="21" t="b">
        <f t="shared" si="1"/>
        <v>0</v>
      </c>
      <c r="R60" s="26" t="s">
        <v>411</v>
      </c>
      <c r="S60" s="21">
        <v>643.67619999999999</v>
      </c>
    </row>
    <row r="61" spans="1:19" x14ac:dyDescent="0.25">
      <c r="A61" s="21">
        <v>60</v>
      </c>
      <c r="B61" s="26" t="s">
        <v>28</v>
      </c>
      <c r="C61" s="26" t="s">
        <v>139</v>
      </c>
      <c r="D61" s="26" t="s">
        <v>265</v>
      </c>
      <c r="E61" s="21">
        <v>1285</v>
      </c>
      <c r="F61" s="21">
        <v>661</v>
      </c>
      <c r="G61" s="21">
        <v>624</v>
      </c>
      <c r="H61" s="21">
        <v>37.711100000000002</v>
      </c>
      <c r="I61" s="21">
        <v>-2.1657950000000001</v>
      </c>
      <c r="J61" s="21">
        <v>1196.4349999999999</v>
      </c>
      <c r="K61" s="21">
        <v>60</v>
      </c>
      <c r="L61" s="21" t="b">
        <f t="shared" si="1"/>
        <v>0</v>
      </c>
      <c r="R61" s="26" t="s">
        <v>495</v>
      </c>
      <c r="S61" s="21">
        <v>811.47090000000003</v>
      </c>
    </row>
    <row r="62" spans="1:19" x14ac:dyDescent="0.25">
      <c r="A62" s="21">
        <v>61</v>
      </c>
      <c r="B62" s="26" t="s">
        <v>28</v>
      </c>
      <c r="C62" s="26" t="s">
        <v>140</v>
      </c>
      <c r="D62" s="26" t="s">
        <v>266</v>
      </c>
      <c r="E62" s="21">
        <v>6825</v>
      </c>
      <c r="F62" s="21">
        <v>3387</v>
      </c>
      <c r="G62" s="21">
        <v>3438</v>
      </c>
      <c r="H62" s="21">
        <v>37.139949999999999</v>
      </c>
      <c r="I62" s="21">
        <v>-1.8513280000000001</v>
      </c>
      <c r="J62" s="21">
        <v>165.05969999999999</v>
      </c>
      <c r="K62" s="21">
        <v>61</v>
      </c>
      <c r="L62" s="21" t="b">
        <f t="shared" si="1"/>
        <v>0</v>
      </c>
      <c r="R62" s="26" t="s">
        <v>653</v>
      </c>
      <c r="S62" s="21">
        <v>235.1584</v>
      </c>
    </row>
    <row r="63" spans="1:19" x14ac:dyDescent="0.25">
      <c r="A63" s="21">
        <v>62</v>
      </c>
      <c r="B63" s="26" t="s">
        <v>28</v>
      </c>
      <c r="C63" s="26" t="s">
        <v>165</v>
      </c>
      <c r="D63" s="26" t="s">
        <v>267</v>
      </c>
      <c r="E63" s="21">
        <v>8963</v>
      </c>
      <c r="F63" s="21">
        <v>4938</v>
      </c>
      <c r="G63" s="21">
        <v>4025</v>
      </c>
      <c r="H63" s="21">
        <v>36.752540000000003</v>
      </c>
      <c r="I63" s="21">
        <v>-2.6881590000000002</v>
      </c>
      <c r="J63" s="21">
        <v>41.25403</v>
      </c>
      <c r="K63" s="21">
        <v>62</v>
      </c>
      <c r="L63" s="21" t="b">
        <f t="shared" si="1"/>
        <v>0</v>
      </c>
      <c r="R63" s="26" t="s">
        <v>934</v>
      </c>
      <c r="S63" s="21">
        <v>46.3095</v>
      </c>
    </row>
    <row r="64" spans="1:19" x14ac:dyDescent="0.25">
      <c r="A64" s="21">
        <v>63</v>
      </c>
      <c r="B64" s="26" t="s">
        <v>28</v>
      </c>
      <c r="C64" s="26" t="s">
        <v>141</v>
      </c>
      <c r="D64" s="26" t="s">
        <v>268</v>
      </c>
      <c r="E64" s="21">
        <v>501</v>
      </c>
      <c r="F64" s="21">
        <v>251</v>
      </c>
      <c r="G64" s="21">
        <v>250</v>
      </c>
      <c r="H64" s="21">
        <v>37.104970000000002</v>
      </c>
      <c r="I64" s="21">
        <v>-2.6477400000000002</v>
      </c>
      <c r="J64" s="21">
        <v>596.89919999999995</v>
      </c>
      <c r="K64" s="21">
        <v>63</v>
      </c>
      <c r="L64" s="21" t="b">
        <f t="shared" si="1"/>
        <v>0</v>
      </c>
      <c r="R64" s="26" t="s">
        <v>28</v>
      </c>
      <c r="S64" s="21">
        <v>27.00703</v>
      </c>
    </row>
    <row r="65" spans="1:19" x14ac:dyDescent="0.25">
      <c r="A65" s="21">
        <v>64</v>
      </c>
      <c r="B65" s="26" t="s">
        <v>28</v>
      </c>
      <c r="C65" s="26" t="s">
        <v>142</v>
      </c>
      <c r="D65" s="26" t="s">
        <v>269</v>
      </c>
      <c r="E65" s="21">
        <v>28056</v>
      </c>
      <c r="F65" s="21">
        <v>15163</v>
      </c>
      <c r="G65" s="21">
        <v>12893</v>
      </c>
      <c r="H65" s="21">
        <v>36.965760000000003</v>
      </c>
      <c r="I65" s="21">
        <v>-2.2065100000000002</v>
      </c>
      <c r="J65" s="21">
        <v>353.12479999999999</v>
      </c>
      <c r="K65" s="21">
        <v>64</v>
      </c>
      <c r="L65" s="21" t="b">
        <f t="shared" si="1"/>
        <v>0</v>
      </c>
      <c r="R65" s="26" t="s">
        <v>219</v>
      </c>
      <c r="S65" s="21">
        <v>831.13430000000005</v>
      </c>
    </row>
    <row r="66" spans="1:19" x14ac:dyDescent="0.25">
      <c r="A66" s="21">
        <v>65</v>
      </c>
      <c r="B66" s="26" t="s">
        <v>28</v>
      </c>
      <c r="C66" s="26" t="s">
        <v>143</v>
      </c>
      <c r="D66" s="26" t="s">
        <v>270</v>
      </c>
      <c r="E66" s="21">
        <v>669</v>
      </c>
      <c r="F66" s="21">
        <v>329</v>
      </c>
      <c r="G66" s="21">
        <v>340</v>
      </c>
      <c r="H66" s="21">
        <v>37.037230000000001</v>
      </c>
      <c r="I66" s="21">
        <v>-2.7451680000000001</v>
      </c>
      <c r="J66" s="21">
        <v>953.42529999999999</v>
      </c>
      <c r="K66" s="21">
        <v>65</v>
      </c>
      <c r="L66" s="21" t="b">
        <f t="shared" si="1"/>
        <v>0</v>
      </c>
      <c r="R66" s="26" t="s">
        <v>412</v>
      </c>
      <c r="S66" s="21">
        <v>119.83799999999999</v>
      </c>
    </row>
    <row r="67" spans="1:19" x14ac:dyDescent="0.25">
      <c r="A67" s="21">
        <v>66</v>
      </c>
      <c r="B67" s="26" t="s">
        <v>28</v>
      </c>
      <c r="C67" s="26" t="s">
        <v>144</v>
      </c>
      <c r="D67" s="26" t="s">
        <v>271</v>
      </c>
      <c r="E67" s="21">
        <v>190</v>
      </c>
      <c r="F67" s="21">
        <v>102</v>
      </c>
      <c r="G67" s="21">
        <v>88</v>
      </c>
      <c r="H67" s="21">
        <v>37.176110000000001</v>
      </c>
      <c r="I67" s="21">
        <v>-2.4762970000000002</v>
      </c>
      <c r="J67" s="21">
        <v>1054.8389999999999</v>
      </c>
      <c r="K67" s="21">
        <v>66</v>
      </c>
      <c r="L67" s="21" t="b">
        <f t="shared" ref="L67:L130" si="4">IF($O$1&lt;&gt;"",IF($O$1=$M$2,IFERROR(VLOOKUP($O$1,B67:D168,3,FALSE),""),IF($O$1=$M$3,IFERROR(VLOOKUP($O$1,B169:D212,3,FALSE),""),IF($O$1=$M$4,IFERROR(VLOOKUP($O$1,B213:D287,3,FALSE),""),IF($O$1=$M$5,IFERROR(VLOOKUP($O$1,B288:D457,3,FALSE),""),IF($O$1=$M$6,IFERROR(VLOOKUP($O$1,B458:D536,3,FALSE),""),IF($O$1=$M$7,IFERROR(VLOOKUP($O$1,B537:D633,3,FALSE),""),IF($O$1=$M$8,IFERROR(VLOOKUP($O$1,B634:D734,3,FALSE),""),IFERROR(VLOOKUP($O$1,B735:D839,3,FALSE),"")))))))))</f>
        <v>0</v>
      </c>
      <c r="R67" s="26" t="s">
        <v>835</v>
      </c>
      <c r="S67" s="21">
        <v>369.31610000000001</v>
      </c>
    </row>
    <row r="68" spans="1:19" x14ac:dyDescent="0.25">
      <c r="A68" s="21">
        <v>67</v>
      </c>
      <c r="B68" s="26" t="s">
        <v>28</v>
      </c>
      <c r="C68" s="26" t="s">
        <v>145</v>
      </c>
      <c r="D68" s="26" t="s">
        <v>272</v>
      </c>
      <c r="E68" s="21">
        <v>6259</v>
      </c>
      <c r="F68" s="21">
        <v>3223</v>
      </c>
      <c r="G68" s="21">
        <v>3036</v>
      </c>
      <c r="H68" s="21">
        <v>37.352119999999999</v>
      </c>
      <c r="I68" s="21">
        <v>-2.2981210000000001</v>
      </c>
      <c r="J68" s="21">
        <v>486.59609999999998</v>
      </c>
      <c r="K68" s="21">
        <v>67</v>
      </c>
      <c r="L68" s="21" t="b">
        <f t="shared" si="4"/>
        <v>0</v>
      </c>
      <c r="R68" s="26" t="s">
        <v>654</v>
      </c>
      <c r="S68" s="21">
        <v>581.577</v>
      </c>
    </row>
    <row r="69" spans="1:19" x14ac:dyDescent="0.25">
      <c r="A69" s="21">
        <v>68</v>
      </c>
      <c r="B69" s="26" t="s">
        <v>28</v>
      </c>
      <c r="C69" s="26" t="s">
        <v>146</v>
      </c>
      <c r="D69" s="26" t="s">
        <v>273</v>
      </c>
      <c r="E69" s="21">
        <v>2428</v>
      </c>
      <c r="F69" s="21">
        <v>1262</v>
      </c>
      <c r="G69" s="21">
        <v>1166</v>
      </c>
      <c r="H69" s="21">
        <v>37.485030000000002</v>
      </c>
      <c r="I69" s="21">
        <v>-2.2950179999999998</v>
      </c>
      <c r="J69" s="21">
        <v>1038.982</v>
      </c>
      <c r="K69" s="21">
        <v>68</v>
      </c>
      <c r="L69" s="21" t="b">
        <f t="shared" si="4"/>
        <v>0</v>
      </c>
      <c r="R69" s="26" t="s">
        <v>655</v>
      </c>
      <c r="S69" s="21">
        <v>77.074169999999995</v>
      </c>
    </row>
    <row r="70" spans="1:19" x14ac:dyDescent="0.25">
      <c r="A70" s="21">
        <v>69</v>
      </c>
      <c r="B70" s="26" t="s">
        <v>28</v>
      </c>
      <c r="C70" s="26" t="s">
        <v>147</v>
      </c>
      <c r="D70" s="26" t="s">
        <v>274</v>
      </c>
      <c r="E70" s="21">
        <v>464</v>
      </c>
      <c r="F70" s="21">
        <v>237</v>
      </c>
      <c r="G70" s="21">
        <v>227</v>
      </c>
      <c r="H70" s="21">
        <v>36.998840000000001</v>
      </c>
      <c r="I70" s="21">
        <v>-2.773482</v>
      </c>
      <c r="J70" s="21">
        <v>745.10289999999998</v>
      </c>
      <c r="K70" s="21">
        <v>69</v>
      </c>
      <c r="L70" s="21" t="b">
        <f t="shared" si="4"/>
        <v>0</v>
      </c>
      <c r="R70" s="26" t="s">
        <v>496</v>
      </c>
      <c r="S70" s="21">
        <v>24.01802</v>
      </c>
    </row>
    <row r="71" spans="1:19" x14ac:dyDescent="0.25">
      <c r="A71" s="21">
        <v>70</v>
      </c>
      <c r="B71" s="26" t="s">
        <v>28</v>
      </c>
      <c r="C71" s="26" t="s">
        <v>148</v>
      </c>
      <c r="D71" s="26" t="s">
        <v>275</v>
      </c>
      <c r="E71" s="21">
        <v>673</v>
      </c>
      <c r="F71" s="21">
        <v>321</v>
      </c>
      <c r="G71" s="21">
        <v>352</v>
      </c>
      <c r="H71" s="21">
        <v>37.406039999999997</v>
      </c>
      <c r="I71" s="21">
        <v>-2.2264339999999998</v>
      </c>
      <c r="J71" s="21">
        <v>548.58500000000004</v>
      </c>
      <c r="K71" s="21">
        <v>70</v>
      </c>
      <c r="L71" s="21" t="b">
        <f t="shared" si="4"/>
        <v>0</v>
      </c>
      <c r="R71" s="26" t="s">
        <v>836</v>
      </c>
      <c r="S71" s="21">
        <v>217.73830000000001</v>
      </c>
    </row>
    <row r="72" spans="1:19" x14ac:dyDescent="0.25">
      <c r="A72" s="21">
        <v>71</v>
      </c>
      <c r="B72" s="26" t="s">
        <v>28</v>
      </c>
      <c r="C72" s="26" t="s">
        <v>149</v>
      </c>
      <c r="D72" s="26" t="s">
        <v>276</v>
      </c>
      <c r="E72" s="21">
        <v>376</v>
      </c>
      <c r="F72" s="21">
        <v>215</v>
      </c>
      <c r="G72" s="21">
        <v>161</v>
      </c>
      <c r="H72" s="21">
        <v>37.020879999999998</v>
      </c>
      <c r="I72" s="21">
        <v>-2.953087</v>
      </c>
      <c r="J72" s="21">
        <v>1201.81</v>
      </c>
      <c r="K72" s="21">
        <v>71</v>
      </c>
      <c r="L72" s="21" t="b">
        <f t="shared" si="4"/>
        <v>0</v>
      </c>
      <c r="R72" s="26" t="s">
        <v>656</v>
      </c>
      <c r="S72" s="21">
        <v>183.96879999999999</v>
      </c>
    </row>
    <row r="73" spans="1:19" x14ac:dyDescent="0.25">
      <c r="A73" s="21">
        <v>72</v>
      </c>
      <c r="B73" s="26" t="s">
        <v>28</v>
      </c>
      <c r="C73" s="26" t="s">
        <v>150</v>
      </c>
      <c r="D73" s="26" t="s">
        <v>277</v>
      </c>
      <c r="E73" s="21">
        <v>3860</v>
      </c>
      <c r="F73" s="21">
        <v>1968</v>
      </c>
      <c r="G73" s="21">
        <v>1892</v>
      </c>
      <c r="H73" s="21">
        <v>36.916670000000003</v>
      </c>
      <c r="I73" s="21">
        <v>-2.4406249999999998</v>
      </c>
      <c r="J73" s="21">
        <v>107.5108</v>
      </c>
      <c r="K73" s="21">
        <v>72</v>
      </c>
      <c r="L73" s="21" t="b">
        <f t="shared" si="4"/>
        <v>0</v>
      </c>
      <c r="R73" s="26" t="s">
        <v>837</v>
      </c>
      <c r="S73" s="21">
        <v>367.51249999999999</v>
      </c>
    </row>
    <row r="74" spans="1:19" x14ac:dyDescent="0.25">
      <c r="A74" s="21">
        <v>73</v>
      </c>
      <c r="B74" s="26" t="s">
        <v>28</v>
      </c>
      <c r="C74" s="26" t="s">
        <v>151</v>
      </c>
      <c r="D74" s="26" t="s">
        <v>278</v>
      </c>
      <c r="E74" s="21">
        <v>8762</v>
      </c>
      <c r="F74" s="21">
        <v>4524</v>
      </c>
      <c r="G74" s="21">
        <v>4238</v>
      </c>
      <c r="H74" s="21">
        <v>37.411830000000002</v>
      </c>
      <c r="I74" s="21">
        <v>-1.7455020000000001</v>
      </c>
      <c r="J74" s="21">
        <v>194.99469999999999</v>
      </c>
      <c r="K74" s="21">
        <v>73</v>
      </c>
      <c r="L74" s="21" t="b">
        <f t="shared" si="4"/>
        <v>0</v>
      </c>
      <c r="R74" s="26" t="s">
        <v>838</v>
      </c>
      <c r="S74" s="21">
        <v>691.16269999999997</v>
      </c>
    </row>
    <row r="75" spans="1:19" x14ac:dyDescent="0.25">
      <c r="A75" s="21">
        <v>74</v>
      </c>
      <c r="B75" s="26" t="s">
        <v>28</v>
      </c>
      <c r="C75" s="26" t="s">
        <v>152</v>
      </c>
      <c r="D75" s="26" t="s">
        <v>279</v>
      </c>
      <c r="E75" s="21">
        <v>1686</v>
      </c>
      <c r="F75" s="21">
        <v>865</v>
      </c>
      <c r="G75" s="21">
        <v>821</v>
      </c>
      <c r="H75" s="21">
        <v>37.348550000000003</v>
      </c>
      <c r="I75" s="21">
        <v>-2.3615499999999998</v>
      </c>
      <c r="J75" s="21">
        <v>540.99839999999995</v>
      </c>
      <c r="K75" s="21">
        <v>74</v>
      </c>
      <c r="L75" s="21" t="b">
        <f t="shared" si="4"/>
        <v>0</v>
      </c>
      <c r="R75" s="26" t="s">
        <v>497</v>
      </c>
      <c r="S75" s="21">
        <v>1238.5409999999999</v>
      </c>
    </row>
    <row r="76" spans="1:19" x14ac:dyDescent="0.25">
      <c r="A76" s="21">
        <v>75</v>
      </c>
      <c r="B76" s="26" t="s">
        <v>28</v>
      </c>
      <c r="C76" s="26" t="s">
        <v>153</v>
      </c>
      <c r="D76" s="26" t="s">
        <v>280</v>
      </c>
      <c r="E76" s="21">
        <v>338</v>
      </c>
      <c r="F76" s="21">
        <v>177</v>
      </c>
      <c r="G76" s="21">
        <v>161</v>
      </c>
      <c r="H76" s="21">
        <v>36.995640000000002</v>
      </c>
      <c r="I76" s="21">
        <v>-2.6809889999999998</v>
      </c>
      <c r="J76" s="21">
        <v>404.83229999999998</v>
      </c>
      <c r="K76" s="21">
        <v>75</v>
      </c>
      <c r="L76" s="21" t="b">
        <f t="shared" si="4"/>
        <v>0</v>
      </c>
      <c r="R76" s="26" t="s">
        <v>498</v>
      </c>
      <c r="S76" s="21">
        <v>1202.9459999999999</v>
      </c>
    </row>
    <row r="77" spans="1:19" x14ac:dyDescent="0.25">
      <c r="A77" s="21">
        <v>76</v>
      </c>
      <c r="B77" s="26" t="s">
        <v>28</v>
      </c>
      <c r="C77" s="26" t="s">
        <v>154</v>
      </c>
      <c r="D77" s="26" t="s">
        <v>281</v>
      </c>
      <c r="E77" s="21">
        <v>1374</v>
      </c>
      <c r="F77" s="21">
        <v>686</v>
      </c>
      <c r="G77" s="21">
        <v>688</v>
      </c>
      <c r="H77" s="21">
        <v>36.94406</v>
      </c>
      <c r="I77" s="21">
        <v>-2.4624239999999999</v>
      </c>
      <c r="J77" s="21">
        <v>133.20920000000001</v>
      </c>
      <c r="K77" s="21">
        <v>76</v>
      </c>
      <c r="L77" s="21" t="b">
        <f t="shared" si="4"/>
        <v>0</v>
      </c>
      <c r="R77" s="26" t="s">
        <v>220</v>
      </c>
      <c r="S77" s="21">
        <v>312.0394</v>
      </c>
    </row>
    <row r="78" spans="1:19" x14ac:dyDescent="0.25">
      <c r="A78" s="21">
        <v>77</v>
      </c>
      <c r="B78" s="26" t="s">
        <v>28</v>
      </c>
      <c r="C78" s="26" t="s">
        <v>155</v>
      </c>
      <c r="D78" s="26" t="s">
        <v>282</v>
      </c>
      <c r="E78" s="21">
        <v>90623</v>
      </c>
      <c r="F78" s="21">
        <v>46592</v>
      </c>
      <c r="G78" s="21">
        <v>44031</v>
      </c>
      <c r="H78" s="21">
        <v>36.764270000000003</v>
      </c>
      <c r="I78" s="21">
        <v>-2.614935</v>
      </c>
      <c r="J78" s="21">
        <v>11.84886</v>
      </c>
      <c r="K78" s="21">
        <v>77</v>
      </c>
      <c r="L78" s="21" t="b">
        <f t="shared" si="4"/>
        <v>0</v>
      </c>
      <c r="R78" s="26" t="s">
        <v>733</v>
      </c>
      <c r="S78" s="21">
        <v>215.333</v>
      </c>
    </row>
    <row r="79" spans="1:19" x14ac:dyDescent="0.25">
      <c r="A79" s="21">
        <v>78</v>
      </c>
      <c r="B79" s="26" t="s">
        <v>28</v>
      </c>
      <c r="C79" s="26" t="s">
        <v>156</v>
      </c>
      <c r="D79" s="26" t="s">
        <v>283</v>
      </c>
      <c r="E79" s="21">
        <v>254</v>
      </c>
      <c r="F79" s="21">
        <v>128</v>
      </c>
      <c r="G79" s="21">
        <v>126</v>
      </c>
      <c r="H79" s="21">
        <v>37.017200000000003</v>
      </c>
      <c r="I79" s="21">
        <v>-2.6037680000000001</v>
      </c>
      <c r="J79" s="21">
        <v>328.97390000000001</v>
      </c>
      <c r="K79" s="21">
        <v>78</v>
      </c>
      <c r="L79" s="21" t="b">
        <f t="shared" si="4"/>
        <v>0</v>
      </c>
      <c r="R79" s="26" t="s">
        <v>221</v>
      </c>
      <c r="S79" s="21">
        <v>107.26130000000001</v>
      </c>
    </row>
    <row r="80" spans="1:19" x14ac:dyDescent="0.25">
      <c r="A80" s="21">
        <v>79</v>
      </c>
      <c r="B80" s="26" t="s">
        <v>28</v>
      </c>
      <c r="C80" s="26" t="s">
        <v>157</v>
      </c>
      <c r="D80" s="26" t="s">
        <v>284</v>
      </c>
      <c r="E80" s="21">
        <v>448</v>
      </c>
      <c r="F80" s="21">
        <v>228</v>
      </c>
      <c r="G80" s="21">
        <v>220</v>
      </c>
      <c r="H80" s="21">
        <v>36.975059999999999</v>
      </c>
      <c r="I80" s="21">
        <v>-2.5302790000000002</v>
      </c>
      <c r="J80" s="21">
        <v>210.5975</v>
      </c>
      <c r="K80" s="21">
        <v>79</v>
      </c>
      <c r="L80" s="21" t="b">
        <f t="shared" si="4"/>
        <v>0</v>
      </c>
      <c r="R80" s="26" t="s">
        <v>839</v>
      </c>
      <c r="S80" s="21">
        <v>519.30999999999995</v>
      </c>
    </row>
    <row r="81" spans="1:19" x14ac:dyDescent="0.25">
      <c r="A81" s="21">
        <v>80</v>
      </c>
      <c r="B81" s="26" t="s">
        <v>28</v>
      </c>
      <c r="C81" s="26" t="s">
        <v>158</v>
      </c>
      <c r="D81" s="26" t="s">
        <v>285</v>
      </c>
      <c r="E81" s="21">
        <v>330</v>
      </c>
      <c r="F81" s="21">
        <v>173</v>
      </c>
      <c r="G81" s="21">
        <v>157</v>
      </c>
      <c r="H81" s="21">
        <v>37.204569999999997</v>
      </c>
      <c r="I81" s="21">
        <v>-2.3475440000000001</v>
      </c>
      <c r="J81" s="21">
        <v>1007.3869999999999</v>
      </c>
      <c r="K81" s="21">
        <v>80</v>
      </c>
      <c r="L81" s="21" t="b">
        <f t="shared" si="4"/>
        <v>0</v>
      </c>
      <c r="R81" s="26" t="s">
        <v>413</v>
      </c>
      <c r="S81" s="21">
        <v>629.97389999999996</v>
      </c>
    </row>
    <row r="82" spans="1:19" x14ac:dyDescent="0.25">
      <c r="A82" s="21">
        <v>81</v>
      </c>
      <c r="B82" s="26" t="s">
        <v>28</v>
      </c>
      <c r="C82" s="26" t="s">
        <v>159</v>
      </c>
      <c r="D82" s="26" t="s">
        <v>286</v>
      </c>
      <c r="E82" s="21">
        <v>2167</v>
      </c>
      <c r="F82" s="21">
        <v>1100</v>
      </c>
      <c r="G82" s="21">
        <v>1067</v>
      </c>
      <c r="H82" s="21">
        <v>37.343609999999998</v>
      </c>
      <c r="I82" s="21">
        <v>-2.5080770000000001</v>
      </c>
      <c r="J82" s="21">
        <v>800.13699999999994</v>
      </c>
      <c r="K82" s="21">
        <v>81</v>
      </c>
      <c r="L82" s="21" t="b">
        <f t="shared" si="4"/>
        <v>0</v>
      </c>
      <c r="R82" s="26" t="s">
        <v>657</v>
      </c>
      <c r="S82" s="21">
        <v>673.99590000000001</v>
      </c>
    </row>
    <row r="83" spans="1:19" x14ac:dyDescent="0.25">
      <c r="A83" s="21">
        <v>82</v>
      </c>
      <c r="B83" s="26" t="s">
        <v>28</v>
      </c>
      <c r="C83" s="26" t="s">
        <v>160</v>
      </c>
      <c r="D83" s="26" t="s">
        <v>287</v>
      </c>
      <c r="E83" s="21">
        <v>392</v>
      </c>
      <c r="F83" s="21">
        <v>207</v>
      </c>
      <c r="G83" s="21">
        <v>185</v>
      </c>
      <c r="H83" s="21">
        <v>37.323480000000004</v>
      </c>
      <c r="I83" s="21">
        <v>-2.3985259999999999</v>
      </c>
      <c r="J83" s="21">
        <v>721.0729</v>
      </c>
      <c r="K83" s="21">
        <v>82</v>
      </c>
      <c r="L83" s="21" t="b">
        <f t="shared" si="4"/>
        <v>0</v>
      </c>
      <c r="R83" s="26" t="s">
        <v>935</v>
      </c>
      <c r="S83" s="21">
        <v>119.1923</v>
      </c>
    </row>
    <row r="84" spans="1:19" x14ac:dyDescent="0.25">
      <c r="A84" s="21">
        <v>83</v>
      </c>
      <c r="B84" s="26" t="s">
        <v>28</v>
      </c>
      <c r="C84" s="26" t="s">
        <v>161</v>
      </c>
      <c r="D84" s="26" t="s">
        <v>288</v>
      </c>
      <c r="E84" s="21">
        <v>492</v>
      </c>
      <c r="F84" s="21">
        <v>244</v>
      </c>
      <c r="G84" s="21">
        <v>248</v>
      </c>
      <c r="H84" s="21">
        <v>37.391390000000001</v>
      </c>
      <c r="I84" s="21">
        <v>-2.3891269999999998</v>
      </c>
      <c r="J84" s="21">
        <v>816.81050000000005</v>
      </c>
      <c r="K84" s="21">
        <v>83</v>
      </c>
      <c r="L84" s="21" t="b">
        <f t="shared" si="4"/>
        <v>0</v>
      </c>
      <c r="R84" s="26" t="s">
        <v>222</v>
      </c>
      <c r="S84" s="21">
        <v>288.08280000000002</v>
      </c>
    </row>
    <row r="85" spans="1:19" x14ac:dyDescent="0.25">
      <c r="A85" s="21">
        <v>84</v>
      </c>
      <c r="B85" s="26" t="s">
        <v>28</v>
      </c>
      <c r="C85" s="26" t="s">
        <v>162</v>
      </c>
      <c r="D85" s="26" t="s">
        <v>289</v>
      </c>
      <c r="E85" s="21">
        <v>2608</v>
      </c>
      <c r="F85" s="21">
        <v>1373</v>
      </c>
      <c r="G85" s="21">
        <v>1235</v>
      </c>
      <c r="H85" s="21">
        <v>37.098410000000001</v>
      </c>
      <c r="I85" s="21">
        <v>-2.1263510000000001</v>
      </c>
      <c r="J85" s="21">
        <v>391.5779</v>
      </c>
      <c r="K85" s="21">
        <v>84</v>
      </c>
      <c r="L85" s="21" t="b">
        <f t="shared" si="4"/>
        <v>0</v>
      </c>
      <c r="R85" s="26" t="s">
        <v>840</v>
      </c>
      <c r="S85" s="21">
        <v>434.62240000000003</v>
      </c>
    </row>
    <row r="86" spans="1:19" x14ac:dyDescent="0.25">
      <c r="A86" s="21">
        <v>85</v>
      </c>
      <c r="B86" s="26" t="s">
        <v>28</v>
      </c>
      <c r="C86" s="26" t="s">
        <v>290</v>
      </c>
      <c r="D86" s="26" t="s">
        <v>291</v>
      </c>
      <c r="E86" s="21">
        <v>252</v>
      </c>
      <c r="F86" s="21">
        <v>132</v>
      </c>
      <c r="G86" s="21">
        <v>120</v>
      </c>
      <c r="H86" s="21">
        <v>37.338200000000001</v>
      </c>
      <c r="I86" s="21">
        <v>-2.3895230000000001</v>
      </c>
      <c r="J86" s="21">
        <v>636.84990000000005</v>
      </c>
      <c r="K86" s="21">
        <v>85</v>
      </c>
      <c r="L86" s="21" t="b">
        <f t="shared" si="4"/>
        <v>0</v>
      </c>
      <c r="R86" s="26" t="s">
        <v>841</v>
      </c>
      <c r="S86" s="21">
        <v>711.64589999999998</v>
      </c>
    </row>
    <row r="87" spans="1:19" x14ac:dyDescent="0.25">
      <c r="A87" s="21">
        <v>86</v>
      </c>
      <c r="B87" s="26" t="s">
        <v>28</v>
      </c>
      <c r="C87" s="26" t="s">
        <v>163</v>
      </c>
      <c r="D87" s="26" t="s">
        <v>292</v>
      </c>
      <c r="E87" s="21">
        <v>3668</v>
      </c>
      <c r="F87" s="21">
        <v>1910</v>
      </c>
      <c r="G87" s="21">
        <v>1758</v>
      </c>
      <c r="H87" s="21">
        <v>37.04945</v>
      </c>
      <c r="I87" s="21">
        <v>-2.3926810000000001</v>
      </c>
      <c r="J87" s="21">
        <v>405.96409999999997</v>
      </c>
      <c r="K87" s="21">
        <v>86</v>
      </c>
      <c r="L87" s="21" t="b">
        <f t="shared" si="4"/>
        <v>0</v>
      </c>
      <c r="R87" s="26" t="s">
        <v>370</v>
      </c>
      <c r="S87" s="21">
        <v>139.20570000000001</v>
      </c>
    </row>
    <row r="88" spans="1:19" x14ac:dyDescent="0.25">
      <c r="A88" s="21">
        <v>87</v>
      </c>
      <c r="B88" s="26" t="s">
        <v>28</v>
      </c>
      <c r="C88" s="26" t="s">
        <v>164</v>
      </c>
      <c r="D88" s="26" t="s">
        <v>293</v>
      </c>
      <c r="E88" s="21">
        <v>1000</v>
      </c>
      <c r="F88" s="21">
        <v>495</v>
      </c>
      <c r="G88" s="21">
        <v>505</v>
      </c>
      <c r="H88" s="21">
        <v>37.467289999999998</v>
      </c>
      <c r="I88" s="21">
        <v>-2.0762049999999999</v>
      </c>
      <c r="J88" s="21">
        <v>702.80219999999997</v>
      </c>
      <c r="K88" s="21">
        <v>87</v>
      </c>
      <c r="L88" s="21" t="b">
        <f t="shared" si="4"/>
        <v>0</v>
      </c>
      <c r="R88" s="26" t="s">
        <v>842</v>
      </c>
      <c r="S88" s="21">
        <v>408.74930000000001</v>
      </c>
    </row>
    <row r="89" spans="1:19" x14ac:dyDescent="0.25">
      <c r="A89" s="21">
        <v>88</v>
      </c>
      <c r="B89" s="26" t="s">
        <v>28</v>
      </c>
      <c r="C89" s="26" t="s">
        <v>168</v>
      </c>
      <c r="D89" s="26" t="s">
        <v>294</v>
      </c>
      <c r="E89" s="21">
        <v>396</v>
      </c>
      <c r="F89" s="21">
        <v>203</v>
      </c>
      <c r="G89" s="21">
        <v>193</v>
      </c>
      <c r="H89" s="21">
        <v>37.228029999999997</v>
      </c>
      <c r="I89" s="21">
        <v>-2.2849699999999999</v>
      </c>
      <c r="J89" s="21">
        <v>1008.582</v>
      </c>
      <c r="K89" s="21">
        <v>88</v>
      </c>
      <c r="L89" s="21" t="b">
        <f t="shared" si="4"/>
        <v>0</v>
      </c>
      <c r="R89" s="26" t="s">
        <v>843</v>
      </c>
      <c r="S89" s="21">
        <v>395.6026</v>
      </c>
    </row>
    <row r="90" spans="1:19" x14ac:dyDescent="0.25">
      <c r="A90" s="21">
        <v>89</v>
      </c>
      <c r="B90" s="26" t="s">
        <v>28</v>
      </c>
      <c r="C90" s="26" t="s">
        <v>166</v>
      </c>
      <c r="D90" s="26" t="s">
        <v>295</v>
      </c>
      <c r="E90" s="21">
        <v>417</v>
      </c>
      <c r="F90" s="21">
        <v>207</v>
      </c>
      <c r="G90" s="21">
        <v>210</v>
      </c>
      <c r="H90" s="21">
        <v>36.98359</v>
      </c>
      <c r="I90" s="21">
        <v>-2.5972330000000001</v>
      </c>
      <c r="J90" s="21">
        <v>282.43509999999998</v>
      </c>
      <c r="K90" s="21">
        <v>89</v>
      </c>
      <c r="L90" s="21" t="b">
        <f t="shared" si="4"/>
        <v>0</v>
      </c>
      <c r="R90" s="26" t="s">
        <v>499</v>
      </c>
      <c r="S90" s="21">
        <v>870.34090000000003</v>
      </c>
    </row>
    <row r="91" spans="1:19" x14ac:dyDescent="0.25">
      <c r="A91" s="21">
        <v>90</v>
      </c>
      <c r="B91" s="26" t="s">
        <v>28</v>
      </c>
      <c r="C91" s="26" t="s">
        <v>167</v>
      </c>
      <c r="D91" s="26" t="s">
        <v>296</v>
      </c>
      <c r="E91" s="21">
        <v>3701</v>
      </c>
      <c r="F91" s="21">
        <v>1826</v>
      </c>
      <c r="G91" s="21">
        <v>1875</v>
      </c>
      <c r="H91" s="21">
        <v>37.345509999999997</v>
      </c>
      <c r="I91" s="21">
        <v>-2.4394339999999999</v>
      </c>
      <c r="J91" s="21">
        <v>685.37900000000002</v>
      </c>
      <c r="K91" s="21">
        <v>90</v>
      </c>
      <c r="L91" s="21" t="b">
        <f t="shared" si="4"/>
        <v>0</v>
      </c>
      <c r="R91" s="26" t="s">
        <v>734</v>
      </c>
      <c r="S91" s="21">
        <v>436.5915</v>
      </c>
    </row>
    <row r="92" spans="1:19" x14ac:dyDescent="0.25">
      <c r="A92" s="21">
        <v>91</v>
      </c>
      <c r="B92" s="26" t="s">
        <v>28</v>
      </c>
      <c r="C92" s="26" t="s">
        <v>138</v>
      </c>
      <c r="D92" s="26" t="s">
        <v>297</v>
      </c>
      <c r="E92" s="21">
        <v>615</v>
      </c>
      <c r="F92" s="21">
        <v>321</v>
      </c>
      <c r="G92" s="21">
        <v>294</v>
      </c>
      <c r="H92" s="21">
        <v>37.133339999999997</v>
      </c>
      <c r="I92" s="21">
        <v>-2.7</v>
      </c>
      <c r="J92" s="21">
        <v>693.09339999999997</v>
      </c>
      <c r="K92" s="21">
        <v>91</v>
      </c>
      <c r="L92" s="21" t="b">
        <f t="shared" si="4"/>
        <v>0</v>
      </c>
      <c r="R92" s="26" t="s">
        <v>735</v>
      </c>
      <c r="S92" s="21">
        <v>348.89100000000002</v>
      </c>
    </row>
    <row r="93" spans="1:19" x14ac:dyDescent="0.25">
      <c r="A93" s="21">
        <v>92</v>
      </c>
      <c r="B93" s="26" t="s">
        <v>28</v>
      </c>
      <c r="C93" s="26" t="s">
        <v>169</v>
      </c>
      <c r="D93" s="26" t="s">
        <v>298</v>
      </c>
      <c r="E93" s="21">
        <v>3346</v>
      </c>
      <c r="F93" s="21">
        <v>1696</v>
      </c>
      <c r="G93" s="21">
        <v>1650</v>
      </c>
      <c r="H93" s="21">
        <v>37.152250000000002</v>
      </c>
      <c r="I93" s="21">
        <v>-1.8948990000000001</v>
      </c>
      <c r="J93" s="21">
        <v>49.414540000000002</v>
      </c>
      <c r="K93" s="21">
        <v>92</v>
      </c>
      <c r="L93" s="21" t="b">
        <f t="shared" si="4"/>
        <v>0</v>
      </c>
      <c r="R93" s="26" t="s">
        <v>500</v>
      </c>
      <c r="S93" s="21">
        <v>671.61800000000005</v>
      </c>
    </row>
    <row r="94" spans="1:19" x14ac:dyDescent="0.25">
      <c r="A94" s="21">
        <v>93</v>
      </c>
      <c r="B94" s="26" t="s">
        <v>28</v>
      </c>
      <c r="C94" s="26" t="s">
        <v>170</v>
      </c>
      <c r="D94" s="26" t="s">
        <v>299</v>
      </c>
      <c r="E94" s="21">
        <v>242</v>
      </c>
      <c r="F94" s="21">
        <v>137</v>
      </c>
      <c r="G94" s="21">
        <v>105</v>
      </c>
      <c r="H94" s="21">
        <v>37.030189999999997</v>
      </c>
      <c r="I94" s="21">
        <v>-2.2640959999999999</v>
      </c>
      <c r="J94" s="21">
        <v>840.33810000000005</v>
      </c>
      <c r="K94" s="21">
        <v>93</v>
      </c>
      <c r="L94" s="21" t="b">
        <f t="shared" si="4"/>
        <v>0</v>
      </c>
      <c r="R94" s="26" t="s">
        <v>223</v>
      </c>
      <c r="S94" s="21">
        <v>625.52850000000001</v>
      </c>
    </row>
    <row r="95" spans="1:19" x14ac:dyDescent="0.25">
      <c r="A95" s="21">
        <v>94</v>
      </c>
      <c r="B95" s="26" t="s">
        <v>28</v>
      </c>
      <c r="C95" s="26" t="s">
        <v>171</v>
      </c>
      <c r="D95" s="26" t="s">
        <v>300</v>
      </c>
      <c r="E95" s="21">
        <v>897</v>
      </c>
      <c r="F95" s="21">
        <v>456</v>
      </c>
      <c r="G95" s="21">
        <v>441</v>
      </c>
      <c r="H95" s="21">
        <v>37.185479999999998</v>
      </c>
      <c r="I95" s="21">
        <v>-2.2038009999999999</v>
      </c>
      <c r="J95" s="21">
        <v>629.61369999999999</v>
      </c>
      <c r="K95" s="21">
        <v>94</v>
      </c>
      <c r="L95" s="21" t="b">
        <f t="shared" si="4"/>
        <v>0</v>
      </c>
      <c r="R95" s="26" t="s">
        <v>658</v>
      </c>
      <c r="S95" s="21">
        <v>407.15499999999997</v>
      </c>
    </row>
    <row r="96" spans="1:19" x14ac:dyDescent="0.25">
      <c r="A96" s="21">
        <v>95</v>
      </c>
      <c r="B96" s="26" t="s">
        <v>28</v>
      </c>
      <c r="C96" s="26" t="s">
        <v>172</v>
      </c>
      <c r="D96" s="26" t="s">
        <v>301</v>
      </c>
      <c r="E96" s="21">
        <v>336</v>
      </c>
      <c r="F96" s="21">
        <v>170</v>
      </c>
      <c r="G96" s="21">
        <v>166</v>
      </c>
      <c r="H96" s="21">
        <v>37.397320000000001</v>
      </c>
      <c r="I96" s="21">
        <v>-2.3650699999999998</v>
      </c>
      <c r="J96" s="21">
        <v>744.75530000000003</v>
      </c>
      <c r="K96" s="21">
        <v>95</v>
      </c>
      <c r="L96" s="21" t="b">
        <f t="shared" si="4"/>
        <v>0</v>
      </c>
      <c r="R96" s="26" t="s">
        <v>736</v>
      </c>
      <c r="S96" s="21">
        <v>382.30340000000001</v>
      </c>
    </row>
    <row r="97" spans="1:19" x14ac:dyDescent="0.25">
      <c r="A97" s="21">
        <v>96</v>
      </c>
      <c r="B97" s="26" t="s">
        <v>28</v>
      </c>
      <c r="C97" s="26" t="s">
        <v>173</v>
      </c>
      <c r="D97" s="26" t="s">
        <v>302</v>
      </c>
      <c r="E97" s="21">
        <v>268</v>
      </c>
      <c r="F97" s="21">
        <v>145</v>
      </c>
      <c r="G97" s="21">
        <v>123</v>
      </c>
      <c r="H97" s="21">
        <v>37.193750000000001</v>
      </c>
      <c r="I97" s="21">
        <v>-2.4036870000000001</v>
      </c>
      <c r="J97" s="21">
        <v>937.57159999999999</v>
      </c>
      <c r="K97" s="21">
        <v>96</v>
      </c>
      <c r="L97" s="21" t="b">
        <f t="shared" si="4"/>
        <v>0</v>
      </c>
      <c r="R97" s="26" t="s">
        <v>844</v>
      </c>
      <c r="S97" s="21">
        <v>596.14750000000004</v>
      </c>
    </row>
    <row r="98" spans="1:19" x14ac:dyDescent="0.25">
      <c r="A98" s="21">
        <v>97</v>
      </c>
      <c r="B98" s="26" t="s">
        <v>28</v>
      </c>
      <c r="C98" s="26" t="s">
        <v>175</v>
      </c>
      <c r="D98" s="26" t="s">
        <v>303</v>
      </c>
      <c r="E98" s="21">
        <v>2035</v>
      </c>
      <c r="F98" s="21">
        <v>1057</v>
      </c>
      <c r="G98" s="21">
        <v>978</v>
      </c>
      <c r="H98" s="21">
        <v>37.690950000000001</v>
      </c>
      <c r="I98" s="21">
        <v>-2.095682</v>
      </c>
      <c r="J98" s="21">
        <v>1072.432</v>
      </c>
      <c r="K98" s="21">
        <v>97</v>
      </c>
      <c r="L98" s="21" t="b">
        <f t="shared" si="4"/>
        <v>0</v>
      </c>
      <c r="R98" s="26" t="s">
        <v>737</v>
      </c>
      <c r="S98" s="21">
        <v>540.23050000000001</v>
      </c>
    </row>
    <row r="99" spans="1:19" x14ac:dyDescent="0.25">
      <c r="A99" s="21">
        <v>98</v>
      </c>
      <c r="B99" s="26" t="s">
        <v>28</v>
      </c>
      <c r="C99" s="26" t="s">
        <v>174</v>
      </c>
      <c r="D99" s="26" t="s">
        <v>304</v>
      </c>
      <c r="E99" s="21">
        <v>6767</v>
      </c>
      <c r="F99" s="21">
        <v>3304</v>
      </c>
      <c r="G99" s="21">
        <v>3463</v>
      </c>
      <c r="H99" s="21">
        <v>37.648020000000002</v>
      </c>
      <c r="I99" s="21">
        <v>-2.0742319999999999</v>
      </c>
      <c r="J99" s="21">
        <v>842.28589999999997</v>
      </c>
      <c r="K99" s="21">
        <v>98</v>
      </c>
      <c r="L99" s="21" t="b">
        <f t="shared" si="4"/>
        <v>0</v>
      </c>
      <c r="R99" s="26" t="s">
        <v>659</v>
      </c>
      <c r="S99" s="21">
        <v>599.7921</v>
      </c>
    </row>
    <row r="100" spans="1:19" x14ac:dyDescent="0.25">
      <c r="A100" s="21">
        <v>99</v>
      </c>
      <c r="B100" s="26" t="s">
        <v>28</v>
      </c>
      <c r="C100" s="26" t="s">
        <v>176</v>
      </c>
      <c r="D100" s="26" t="s">
        <v>305</v>
      </c>
      <c r="E100" s="21">
        <v>15108</v>
      </c>
      <c r="F100" s="21">
        <v>7669</v>
      </c>
      <c r="G100" s="21">
        <v>7439</v>
      </c>
      <c r="H100" s="21">
        <v>37.246859999999998</v>
      </c>
      <c r="I100" s="21">
        <v>-1.8682380000000001</v>
      </c>
      <c r="J100" s="21">
        <v>102.06570000000001</v>
      </c>
      <c r="K100" s="21">
        <v>99</v>
      </c>
      <c r="L100" s="21" t="b">
        <f t="shared" si="4"/>
        <v>0</v>
      </c>
      <c r="R100" s="26" t="s">
        <v>845</v>
      </c>
      <c r="S100" s="21">
        <v>743.50220000000002</v>
      </c>
    </row>
    <row r="101" spans="1:19" x14ac:dyDescent="0.25">
      <c r="A101" s="21">
        <v>100</v>
      </c>
      <c r="B101" s="26" t="s">
        <v>28</v>
      </c>
      <c r="C101" s="26" t="s">
        <v>177</v>
      </c>
      <c r="D101" s="26" t="s">
        <v>306</v>
      </c>
      <c r="E101" s="21">
        <v>5698</v>
      </c>
      <c r="F101" s="21">
        <v>2947</v>
      </c>
      <c r="G101" s="21">
        <v>2751</v>
      </c>
      <c r="H101" s="21">
        <v>36.889629999999997</v>
      </c>
      <c r="I101" s="21">
        <v>-2.4265409999999998</v>
      </c>
      <c r="J101" s="21">
        <v>74.791730000000001</v>
      </c>
      <c r="K101" s="21">
        <v>100</v>
      </c>
      <c r="L101" s="21" t="b">
        <f t="shared" si="4"/>
        <v>0</v>
      </c>
      <c r="R101" s="26" t="s">
        <v>501</v>
      </c>
      <c r="S101" s="21">
        <v>604.91999999999996</v>
      </c>
    </row>
    <row r="102" spans="1:19" x14ac:dyDescent="0.25">
      <c r="A102" s="21">
        <v>101</v>
      </c>
      <c r="B102" s="26" t="s">
        <v>28</v>
      </c>
      <c r="C102" s="26" t="s">
        <v>178</v>
      </c>
      <c r="D102" s="26" t="s">
        <v>307</v>
      </c>
      <c r="E102" s="21">
        <v>24571</v>
      </c>
      <c r="F102" s="21">
        <v>13011</v>
      </c>
      <c r="G102" s="21">
        <v>11560</v>
      </c>
      <c r="H102" s="21">
        <v>36.831449999999997</v>
      </c>
      <c r="I102" s="21">
        <v>-2.6425149999999999</v>
      </c>
      <c r="J102" s="21">
        <v>276.2602</v>
      </c>
      <c r="K102" s="21">
        <v>101</v>
      </c>
      <c r="L102" s="21" t="b">
        <f t="shared" si="4"/>
        <v>0</v>
      </c>
      <c r="R102" s="26" t="s">
        <v>660</v>
      </c>
      <c r="S102" s="21">
        <v>3.1560809999999999</v>
      </c>
    </row>
    <row r="103" spans="1:19" x14ac:dyDescent="0.25">
      <c r="A103" s="21">
        <v>102</v>
      </c>
      <c r="B103" s="26" t="s">
        <v>28</v>
      </c>
      <c r="C103" s="26" t="s">
        <v>179</v>
      </c>
      <c r="D103" s="26" t="s">
        <v>308</v>
      </c>
      <c r="E103" s="21">
        <v>3030</v>
      </c>
      <c r="F103" s="21">
        <v>1504</v>
      </c>
      <c r="G103" s="21">
        <v>1526</v>
      </c>
      <c r="H103" s="21">
        <v>37.342649999999999</v>
      </c>
      <c r="I103" s="21">
        <v>-2.0396070000000002</v>
      </c>
      <c r="J103" s="21">
        <v>248.15819999999999</v>
      </c>
      <c r="K103" s="21">
        <v>102</v>
      </c>
      <c r="L103" s="21" t="b">
        <f t="shared" si="4"/>
        <v>0</v>
      </c>
      <c r="R103" s="26" t="s">
        <v>936</v>
      </c>
      <c r="S103" s="21">
        <v>66.947810000000004</v>
      </c>
    </row>
    <row r="104" spans="1:19" x14ac:dyDescent="0.25">
      <c r="A104" s="21">
        <v>103</v>
      </c>
      <c r="B104" s="26" t="s">
        <v>38</v>
      </c>
      <c r="C104" s="26" t="s">
        <v>76</v>
      </c>
      <c r="D104" s="26" t="s">
        <v>365</v>
      </c>
      <c r="E104" s="21">
        <v>5326</v>
      </c>
      <c r="F104" s="21">
        <v>2734</v>
      </c>
      <c r="G104" s="21">
        <v>2592</v>
      </c>
      <c r="H104" s="21">
        <v>36.460450000000002</v>
      </c>
      <c r="I104" s="21">
        <v>-5.7237179999999999</v>
      </c>
      <c r="J104" s="21">
        <v>158.3963</v>
      </c>
      <c r="K104" s="21">
        <v>103</v>
      </c>
      <c r="L104" s="21" t="b">
        <f t="shared" si="4"/>
        <v>0</v>
      </c>
      <c r="R104" s="26" t="s">
        <v>937</v>
      </c>
      <c r="S104" s="21">
        <v>142.94309999999999</v>
      </c>
    </row>
    <row r="105" spans="1:19" x14ac:dyDescent="0.25">
      <c r="A105" s="21">
        <v>104</v>
      </c>
      <c r="B105" s="26" t="s">
        <v>38</v>
      </c>
      <c r="C105" s="26" t="s">
        <v>77</v>
      </c>
      <c r="D105" s="26" t="s">
        <v>366</v>
      </c>
      <c r="E105" s="21">
        <v>5224</v>
      </c>
      <c r="F105" s="21">
        <v>2620</v>
      </c>
      <c r="G105" s="21">
        <v>2604</v>
      </c>
      <c r="H105" s="21">
        <v>36.904910000000001</v>
      </c>
      <c r="I105" s="21">
        <v>-5.1732370000000003</v>
      </c>
      <c r="J105" s="21">
        <v>623.33659999999998</v>
      </c>
      <c r="K105" s="21">
        <v>104</v>
      </c>
      <c r="L105" s="21" t="b">
        <f t="shared" si="4"/>
        <v>0</v>
      </c>
      <c r="R105" s="26" t="s">
        <v>224</v>
      </c>
      <c r="S105" s="21">
        <v>1202.6310000000001</v>
      </c>
    </row>
    <row r="106" spans="1:19" x14ac:dyDescent="0.25">
      <c r="A106" s="21">
        <v>105</v>
      </c>
      <c r="B106" s="26" t="s">
        <v>38</v>
      </c>
      <c r="C106" s="26" t="s">
        <v>78</v>
      </c>
      <c r="D106" s="26" t="s">
        <v>367</v>
      </c>
      <c r="E106" s="21">
        <v>1448</v>
      </c>
      <c r="F106" s="21">
        <v>750</v>
      </c>
      <c r="G106" s="21">
        <v>698</v>
      </c>
      <c r="H106" s="21">
        <v>36.655329999999999</v>
      </c>
      <c r="I106" s="21">
        <v>-5.6574179999999998</v>
      </c>
      <c r="J106" s="21">
        <v>213.08330000000001</v>
      </c>
      <c r="K106" s="21">
        <v>105</v>
      </c>
      <c r="L106" s="21" t="b">
        <f t="shared" si="4"/>
        <v>0</v>
      </c>
      <c r="R106" s="26" t="s">
        <v>938</v>
      </c>
      <c r="S106" s="21">
        <v>223.3192</v>
      </c>
    </row>
    <row r="107" spans="1:19" x14ac:dyDescent="0.25">
      <c r="A107" s="21">
        <v>106</v>
      </c>
      <c r="B107" s="26" t="s">
        <v>38</v>
      </c>
      <c r="C107" s="26" t="s">
        <v>79</v>
      </c>
      <c r="D107" s="26" t="s">
        <v>368</v>
      </c>
      <c r="E107" s="21">
        <v>118920</v>
      </c>
      <c r="F107" s="21">
        <v>58776</v>
      </c>
      <c r="G107" s="21">
        <v>60144</v>
      </c>
      <c r="H107" s="21">
        <v>36.129779999999997</v>
      </c>
      <c r="I107" s="21">
        <v>-5.4476979999999999</v>
      </c>
      <c r="J107" s="21">
        <v>22.405439999999999</v>
      </c>
      <c r="K107" s="21">
        <v>106</v>
      </c>
      <c r="L107" s="21" t="b">
        <f t="shared" si="4"/>
        <v>0</v>
      </c>
      <c r="R107" s="26" t="s">
        <v>414</v>
      </c>
      <c r="S107" s="21">
        <v>432.86410000000001</v>
      </c>
    </row>
    <row r="108" spans="1:19" x14ac:dyDescent="0.25">
      <c r="A108" s="21">
        <v>107</v>
      </c>
      <c r="B108" s="26" t="s">
        <v>38</v>
      </c>
      <c r="C108" s="26" t="s">
        <v>80</v>
      </c>
      <c r="D108" s="26" t="s">
        <v>369</v>
      </c>
      <c r="E108" s="21">
        <v>5649</v>
      </c>
      <c r="F108" s="21">
        <v>2876</v>
      </c>
      <c r="G108" s="21">
        <v>2773</v>
      </c>
      <c r="H108" s="21">
        <v>36.880920000000003</v>
      </c>
      <c r="I108" s="21">
        <v>-5.4057729999999999</v>
      </c>
      <c r="J108" s="21">
        <v>370.12400000000002</v>
      </c>
      <c r="K108" s="21">
        <v>107</v>
      </c>
      <c r="L108" s="21" t="b">
        <f t="shared" si="4"/>
        <v>0</v>
      </c>
      <c r="R108" s="26" t="s">
        <v>738</v>
      </c>
      <c r="S108" s="21">
        <v>759.47500000000002</v>
      </c>
    </row>
    <row r="109" spans="1:19" x14ac:dyDescent="0.25">
      <c r="A109" s="21">
        <v>108</v>
      </c>
      <c r="B109" s="26" t="s">
        <v>38</v>
      </c>
      <c r="C109" s="26" t="s">
        <v>81</v>
      </c>
      <c r="D109" s="26" t="s">
        <v>370</v>
      </c>
      <c r="E109" s="21">
        <v>31193</v>
      </c>
      <c r="F109" s="21">
        <v>15624</v>
      </c>
      <c r="G109" s="21">
        <v>15569</v>
      </c>
      <c r="H109" s="21">
        <v>36.750779999999999</v>
      </c>
      <c r="I109" s="21">
        <v>-5.8123950000000004</v>
      </c>
      <c r="J109" s="21">
        <v>139.20570000000001</v>
      </c>
      <c r="K109" s="21">
        <v>108</v>
      </c>
      <c r="L109" s="21" t="b">
        <f t="shared" si="4"/>
        <v>0</v>
      </c>
      <c r="R109" s="26" t="s">
        <v>739</v>
      </c>
      <c r="S109" s="21">
        <v>350.99900000000002</v>
      </c>
    </row>
    <row r="110" spans="1:19" x14ac:dyDescent="0.25">
      <c r="A110" s="21">
        <v>109</v>
      </c>
      <c r="B110" s="26" t="s">
        <v>38</v>
      </c>
      <c r="C110" s="26" t="s">
        <v>82</v>
      </c>
      <c r="D110" s="26" t="s">
        <v>371</v>
      </c>
      <c r="E110" s="21">
        <v>22808</v>
      </c>
      <c r="F110" s="21">
        <v>11435</v>
      </c>
      <c r="G110" s="21">
        <v>11373</v>
      </c>
      <c r="H110" s="21">
        <v>36.192819999999998</v>
      </c>
      <c r="I110" s="21">
        <v>-5.9189030000000002</v>
      </c>
      <c r="J110" s="21">
        <v>15.97273</v>
      </c>
      <c r="K110" s="21">
        <v>109</v>
      </c>
      <c r="L110" s="21" t="b">
        <f t="shared" si="4"/>
        <v>0</v>
      </c>
      <c r="R110" s="26" t="s">
        <v>740</v>
      </c>
      <c r="S110" s="21">
        <v>419.48919999999998</v>
      </c>
    </row>
    <row r="111" spans="1:19" x14ac:dyDescent="0.25">
      <c r="A111" s="21">
        <v>110</v>
      </c>
      <c r="B111" s="26" t="s">
        <v>38</v>
      </c>
      <c r="C111" s="26" t="s">
        <v>83</v>
      </c>
      <c r="D111" s="26" t="s">
        <v>372</v>
      </c>
      <c r="E111" s="21">
        <v>23167</v>
      </c>
      <c r="F111" s="21">
        <v>11614</v>
      </c>
      <c r="G111" s="21">
        <v>11553</v>
      </c>
      <c r="H111" s="21">
        <v>36.185389999999998</v>
      </c>
      <c r="I111" s="21">
        <v>-5.4927469999999996</v>
      </c>
      <c r="J111" s="21">
        <v>25.336970000000001</v>
      </c>
      <c r="K111" s="21">
        <v>110</v>
      </c>
      <c r="L111" s="21" t="b">
        <f t="shared" si="4"/>
        <v>0</v>
      </c>
      <c r="R111" s="26" t="s">
        <v>371</v>
      </c>
      <c r="S111" s="21">
        <v>15.97273</v>
      </c>
    </row>
    <row r="112" spans="1:19" x14ac:dyDescent="0.25">
      <c r="A112" s="21">
        <v>111</v>
      </c>
      <c r="B112" s="26" t="s">
        <v>38</v>
      </c>
      <c r="C112" s="26" t="s">
        <v>138</v>
      </c>
      <c r="D112" s="26" t="s">
        <v>373</v>
      </c>
      <c r="E112" s="21">
        <v>7000</v>
      </c>
      <c r="F112" s="21">
        <v>3560</v>
      </c>
      <c r="G112" s="21">
        <v>3440</v>
      </c>
      <c r="H112" s="21">
        <v>36.342840000000002</v>
      </c>
      <c r="I112" s="21">
        <v>-5.8094000000000001</v>
      </c>
      <c r="J112" s="21">
        <v>75.254589999999993</v>
      </c>
      <c r="K112" s="21">
        <v>111</v>
      </c>
      <c r="L112" s="21" t="b">
        <f t="shared" si="4"/>
        <v>0</v>
      </c>
      <c r="R112" s="26" t="s">
        <v>372</v>
      </c>
      <c r="S112" s="21">
        <v>25.336970000000001</v>
      </c>
    </row>
    <row r="113" spans="1:19" x14ac:dyDescent="0.25">
      <c r="A113" s="21">
        <v>112</v>
      </c>
      <c r="B113" s="26" t="s">
        <v>38</v>
      </c>
      <c r="C113" s="26" t="s">
        <v>84</v>
      </c>
      <c r="D113" s="26" t="s">
        <v>374</v>
      </c>
      <c r="E113" s="21">
        <v>720</v>
      </c>
      <c r="F113" s="21">
        <v>383</v>
      </c>
      <c r="G113" s="21">
        <v>337</v>
      </c>
      <c r="H113" s="21">
        <v>36.69952</v>
      </c>
      <c r="I113" s="21">
        <v>-5.4212629999999997</v>
      </c>
      <c r="J113" s="21">
        <v>792.07039999999995</v>
      </c>
      <c r="K113" s="21">
        <v>112</v>
      </c>
      <c r="L113" s="21" t="b">
        <f t="shared" si="4"/>
        <v>0</v>
      </c>
      <c r="R113" s="26" t="s">
        <v>225</v>
      </c>
      <c r="S113" s="21">
        <v>1271.1659999999999</v>
      </c>
    </row>
    <row r="114" spans="1:19" x14ac:dyDescent="0.25">
      <c r="A114" s="21">
        <v>113</v>
      </c>
      <c r="B114" s="26" t="s">
        <v>38</v>
      </c>
      <c r="C114" s="26" t="s">
        <v>85</v>
      </c>
      <c r="D114" s="26" t="s">
        <v>375</v>
      </c>
      <c r="E114" s="21">
        <v>7934</v>
      </c>
      <c r="F114" s="21">
        <v>3956</v>
      </c>
      <c r="G114" s="21">
        <v>3978</v>
      </c>
      <c r="H114" s="21">
        <v>36.814590000000003</v>
      </c>
      <c r="I114" s="21">
        <v>-5.7433620000000003</v>
      </c>
      <c r="J114" s="21">
        <v>153.59129999999999</v>
      </c>
      <c r="K114" s="21">
        <v>113</v>
      </c>
      <c r="L114" s="21" t="b">
        <f t="shared" si="4"/>
        <v>0</v>
      </c>
      <c r="R114" s="26" t="s">
        <v>226</v>
      </c>
      <c r="S114" s="21">
        <v>816.22080000000005</v>
      </c>
    </row>
    <row r="115" spans="1:19" x14ac:dyDescent="0.25">
      <c r="A115" s="21">
        <v>114</v>
      </c>
      <c r="B115" s="26" t="s">
        <v>38</v>
      </c>
      <c r="C115" s="26" t="s">
        <v>86</v>
      </c>
      <c r="D115" s="26" t="s">
        <v>376</v>
      </c>
      <c r="E115" s="21">
        <v>2067</v>
      </c>
      <c r="F115" s="21">
        <v>1046</v>
      </c>
      <c r="G115" s="21">
        <v>1021</v>
      </c>
      <c r="H115" s="21">
        <v>36.75752</v>
      </c>
      <c r="I115" s="21">
        <v>-5.5069879999999998</v>
      </c>
      <c r="J115" s="21">
        <v>273.18610000000001</v>
      </c>
      <c r="K115" s="21">
        <v>114</v>
      </c>
      <c r="L115" s="21" t="b">
        <f t="shared" si="4"/>
        <v>0</v>
      </c>
      <c r="R115" s="26" t="s">
        <v>502</v>
      </c>
      <c r="S115" s="21">
        <v>850.29780000000005</v>
      </c>
    </row>
    <row r="116" spans="1:19" x14ac:dyDescent="0.25">
      <c r="A116" s="21">
        <v>115</v>
      </c>
      <c r="B116" s="26" t="s">
        <v>38</v>
      </c>
      <c r="C116" s="26" t="s">
        <v>87</v>
      </c>
      <c r="D116" s="26" t="s">
        <v>38</v>
      </c>
      <c r="E116" s="21">
        <v>120468</v>
      </c>
      <c r="F116" s="21">
        <v>57001</v>
      </c>
      <c r="G116" s="21">
        <v>63467</v>
      </c>
      <c r="H116" s="21">
        <v>36.529690000000002</v>
      </c>
      <c r="I116" s="21">
        <v>-6.2926570000000002</v>
      </c>
      <c r="J116" s="21">
        <v>15.424149999999999</v>
      </c>
      <c r="K116" s="21">
        <v>115</v>
      </c>
      <c r="L116" s="21" t="b">
        <f t="shared" si="4"/>
        <v>0</v>
      </c>
      <c r="R116" s="26" t="s">
        <v>661</v>
      </c>
      <c r="S116" s="21">
        <v>120.98260000000001</v>
      </c>
    </row>
    <row r="117" spans="1:19" x14ac:dyDescent="0.25">
      <c r="A117" s="21">
        <v>116</v>
      </c>
      <c r="B117" s="26" t="s">
        <v>38</v>
      </c>
      <c r="C117" s="26" t="s">
        <v>89</v>
      </c>
      <c r="D117" s="26" t="s">
        <v>377</v>
      </c>
      <c r="E117" s="21">
        <v>3045</v>
      </c>
      <c r="F117" s="21">
        <v>1527</v>
      </c>
      <c r="G117" s="21">
        <v>1518</v>
      </c>
      <c r="H117" s="21">
        <v>36.286209999999997</v>
      </c>
      <c r="I117" s="21">
        <v>-5.419937</v>
      </c>
      <c r="J117" s="21">
        <v>30.782779999999999</v>
      </c>
      <c r="K117" s="21">
        <v>116</v>
      </c>
      <c r="L117" s="21" t="b">
        <f t="shared" si="4"/>
        <v>0</v>
      </c>
      <c r="R117" s="26" t="s">
        <v>503</v>
      </c>
      <c r="S117" s="21">
        <v>1068.3399999999999</v>
      </c>
    </row>
    <row r="118" spans="1:19" x14ac:dyDescent="0.25">
      <c r="A118" s="21">
        <v>117</v>
      </c>
      <c r="B118" s="26" t="s">
        <v>38</v>
      </c>
      <c r="C118" s="26" t="s">
        <v>90</v>
      </c>
      <c r="D118" s="26" t="s">
        <v>378</v>
      </c>
      <c r="E118" s="21">
        <v>82777</v>
      </c>
      <c r="F118" s="21">
        <v>41691</v>
      </c>
      <c r="G118" s="21">
        <v>41086</v>
      </c>
      <c r="H118" s="21">
        <v>36.419150000000002</v>
      </c>
      <c r="I118" s="21">
        <v>-6.1494119999999999</v>
      </c>
      <c r="J118" s="21">
        <v>13.2455</v>
      </c>
      <c r="K118" s="21">
        <v>117</v>
      </c>
      <c r="L118" s="21" t="b">
        <f t="shared" si="4"/>
        <v>0</v>
      </c>
      <c r="R118" s="26" t="s">
        <v>504</v>
      </c>
      <c r="S118" s="21">
        <v>955.70320000000004</v>
      </c>
    </row>
    <row r="119" spans="1:19" x14ac:dyDescent="0.25">
      <c r="A119" s="21">
        <v>118</v>
      </c>
      <c r="B119" s="26" t="s">
        <v>38</v>
      </c>
      <c r="C119" s="26" t="s">
        <v>91</v>
      </c>
      <c r="D119" s="26" t="s">
        <v>379</v>
      </c>
      <c r="E119" s="21">
        <v>19062</v>
      </c>
      <c r="F119" s="21">
        <v>9578</v>
      </c>
      <c r="G119" s="21">
        <v>9484</v>
      </c>
      <c r="H119" s="21">
        <v>36.7408</v>
      </c>
      <c r="I119" s="21">
        <v>-6.4358700000000004</v>
      </c>
      <c r="J119" s="21">
        <v>11.724970000000001</v>
      </c>
      <c r="K119" s="21">
        <v>118</v>
      </c>
      <c r="L119" s="21" t="b">
        <f t="shared" si="4"/>
        <v>0</v>
      </c>
      <c r="R119" s="26" t="s">
        <v>741</v>
      </c>
      <c r="S119" s="21">
        <v>581.13469999999995</v>
      </c>
    </row>
    <row r="120" spans="1:19" x14ac:dyDescent="0.25">
      <c r="A120" s="21">
        <v>119</v>
      </c>
      <c r="B120" s="26" t="s">
        <v>38</v>
      </c>
      <c r="C120" s="26" t="s">
        <v>88</v>
      </c>
      <c r="D120" s="26" t="s">
        <v>380</v>
      </c>
      <c r="E120" s="21">
        <v>22136</v>
      </c>
      <c r="F120" s="21">
        <v>11183</v>
      </c>
      <c r="G120" s="21">
        <v>10953</v>
      </c>
      <c r="H120" s="21">
        <v>36.27675</v>
      </c>
      <c r="I120" s="21">
        <v>-6.0884359999999997</v>
      </c>
      <c r="J120" s="21">
        <v>33.709919999999997</v>
      </c>
      <c r="K120" s="21">
        <v>119</v>
      </c>
      <c r="L120" s="21" t="b">
        <f t="shared" si="4"/>
        <v>0</v>
      </c>
      <c r="R120" s="26" t="s">
        <v>227</v>
      </c>
      <c r="S120" s="21">
        <v>391.56</v>
      </c>
    </row>
    <row r="121" spans="1:19" x14ac:dyDescent="0.25">
      <c r="A121" s="21">
        <v>120</v>
      </c>
      <c r="B121" s="26" t="s">
        <v>38</v>
      </c>
      <c r="C121" s="26" t="s">
        <v>92</v>
      </c>
      <c r="D121" s="26" t="s">
        <v>381</v>
      </c>
      <c r="E121" s="21">
        <v>3915</v>
      </c>
      <c r="F121" s="21">
        <v>1970</v>
      </c>
      <c r="G121" s="21">
        <v>1945</v>
      </c>
      <c r="H121" s="21">
        <v>36.873190000000001</v>
      </c>
      <c r="I121" s="21">
        <v>-5.8062129999999996</v>
      </c>
      <c r="J121" s="21">
        <v>147.471</v>
      </c>
      <c r="K121" s="21">
        <v>120</v>
      </c>
      <c r="L121" s="21" t="b">
        <f t="shared" si="4"/>
        <v>0</v>
      </c>
      <c r="R121" s="26" t="s">
        <v>742</v>
      </c>
      <c r="S121" s="21">
        <v>645.46879999999999</v>
      </c>
    </row>
    <row r="122" spans="1:19" x14ac:dyDescent="0.25">
      <c r="A122" s="21">
        <v>121</v>
      </c>
      <c r="B122" s="26" t="s">
        <v>38</v>
      </c>
      <c r="C122" s="26" t="s">
        <v>93</v>
      </c>
      <c r="D122" s="26" t="s">
        <v>382</v>
      </c>
      <c r="E122" s="21">
        <v>1809</v>
      </c>
      <c r="F122" s="21">
        <v>942</v>
      </c>
      <c r="G122" s="21">
        <v>867</v>
      </c>
      <c r="H122" s="21">
        <v>36.855089999999997</v>
      </c>
      <c r="I122" s="21">
        <v>-5.3236230000000004</v>
      </c>
      <c r="J122" s="21">
        <v>600.30219999999997</v>
      </c>
      <c r="K122" s="21">
        <v>121</v>
      </c>
      <c r="L122" s="21" t="b">
        <f t="shared" si="4"/>
        <v>0</v>
      </c>
      <c r="R122" s="26" t="s">
        <v>743</v>
      </c>
      <c r="S122" s="21">
        <v>556.92520000000002</v>
      </c>
    </row>
    <row r="123" spans="1:19" x14ac:dyDescent="0.25">
      <c r="A123" s="21">
        <v>122</v>
      </c>
      <c r="B123" s="26" t="s">
        <v>38</v>
      </c>
      <c r="C123" s="26" t="s">
        <v>94</v>
      </c>
      <c r="D123" s="26" t="s">
        <v>383</v>
      </c>
      <c r="E123" s="21">
        <v>2165</v>
      </c>
      <c r="F123" s="21">
        <v>1085</v>
      </c>
      <c r="G123" s="21">
        <v>1080</v>
      </c>
      <c r="H123" s="21">
        <v>36.758369999999999</v>
      </c>
      <c r="I123" s="21">
        <v>-5.3660709999999998</v>
      </c>
      <c r="J123" s="21">
        <v>830.52869999999996</v>
      </c>
      <c r="K123" s="21">
        <v>122</v>
      </c>
      <c r="L123" s="21" t="b">
        <f t="shared" si="4"/>
        <v>0</v>
      </c>
      <c r="R123" s="26" t="s">
        <v>228</v>
      </c>
      <c r="S123" s="21">
        <v>919.23469999999998</v>
      </c>
    </row>
    <row r="124" spans="1:19" x14ac:dyDescent="0.25">
      <c r="A124" s="21">
        <v>123</v>
      </c>
      <c r="B124" s="26" t="s">
        <v>38</v>
      </c>
      <c r="C124" s="26" t="s">
        <v>95</v>
      </c>
      <c r="D124" s="26" t="s">
        <v>384</v>
      </c>
      <c r="E124" s="21">
        <v>212876</v>
      </c>
      <c r="F124" s="21">
        <v>104237</v>
      </c>
      <c r="G124" s="21">
        <v>108639</v>
      </c>
      <c r="H124" s="21">
        <v>36.68656</v>
      </c>
      <c r="I124" s="21">
        <v>-6.1371729999999998</v>
      </c>
      <c r="J124" s="21">
        <v>55.748489999999997</v>
      </c>
      <c r="K124" s="21">
        <v>123</v>
      </c>
      <c r="L124" s="21" t="b">
        <f t="shared" si="4"/>
        <v>0</v>
      </c>
      <c r="R124" s="26" t="s">
        <v>415</v>
      </c>
      <c r="S124" s="21">
        <v>492.91090000000003</v>
      </c>
    </row>
    <row r="125" spans="1:19" x14ac:dyDescent="0.25">
      <c r="A125" s="21">
        <v>124</v>
      </c>
      <c r="B125" s="26" t="s">
        <v>38</v>
      </c>
      <c r="C125" s="26" t="s">
        <v>96</v>
      </c>
      <c r="D125" s="26" t="s">
        <v>385</v>
      </c>
      <c r="E125" s="21">
        <v>9772</v>
      </c>
      <c r="F125" s="21">
        <v>5016</v>
      </c>
      <c r="G125" s="21">
        <v>4756</v>
      </c>
      <c r="H125" s="21">
        <v>36.434040000000003</v>
      </c>
      <c r="I125" s="21">
        <v>-5.4534789999999997</v>
      </c>
      <c r="J125" s="21">
        <v>131.44300000000001</v>
      </c>
      <c r="K125" s="21">
        <v>124</v>
      </c>
      <c r="L125" s="21" t="b">
        <f t="shared" si="4"/>
        <v>0</v>
      </c>
      <c r="R125" s="26" t="s">
        <v>416</v>
      </c>
      <c r="S125" s="21">
        <v>530.03880000000004</v>
      </c>
    </row>
    <row r="126" spans="1:19" x14ac:dyDescent="0.25">
      <c r="A126" s="21">
        <v>125</v>
      </c>
      <c r="B126" s="26" t="s">
        <v>38</v>
      </c>
      <c r="C126" s="26" t="s">
        <v>97</v>
      </c>
      <c r="D126" s="26" t="s">
        <v>386</v>
      </c>
      <c r="E126" s="21">
        <v>63352</v>
      </c>
      <c r="F126" s="21">
        <v>31073</v>
      </c>
      <c r="G126" s="21">
        <v>32279</v>
      </c>
      <c r="H126" s="21">
        <v>36.161180000000002</v>
      </c>
      <c r="I126" s="21">
        <v>-5.3482560000000001</v>
      </c>
      <c r="J126" s="21">
        <v>10.4049</v>
      </c>
      <c r="K126" s="21">
        <v>125</v>
      </c>
      <c r="L126" s="21" t="b">
        <f t="shared" si="4"/>
        <v>0</v>
      </c>
      <c r="R126" s="26" t="s">
        <v>744</v>
      </c>
      <c r="S126" s="21">
        <v>863.72879999999998</v>
      </c>
    </row>
    <row r="127" spans="1:19" x14ac:dyDescent="0.25">
      <c r="A127" s="21">
        <v>126</v>
      </c>
      <c r="B127" s="26" t="s">
        <v>38</v>
      </c>
      <c r="C127" s="26" t="s">
        <v>98</v>
      </c>
      <c r="D127" s="26" t="s">
        <v>387</v>
      </c>
      <c r="E127" s="21">
        <v>11749</v>
      </c>
      <c r="F127" s="21">
        <v>5990</v>
      </c>
      <c r="G127" s="21">
        <v>5759</v>
      </c>
      <c r="H127" s="21">
        <v>36.467680000000001</v>
      </c>
      <c r="I127" s="21">
        <v>-5.9278940000000002</v>
      </c>
      <c r="J127" s="21">
        <v>246.03720000000001</v>
      </c>
      <c r="K127" s="21">
        <v>126</v>
      </c>
      <c r="L127" s="21" t="b">
        <f t="shared" si="4"/>
        <v>0</v>
      </c>
      <c r="R127" s="26" t="s">
        <v>939</v>
      </c>
      <c r="S127" s="21">
        <v>122.7115</v>
      </c>
    </row>
    <row r="128" spans="1:19" x14ac:dyDescent="0.25">
      <c r="A128" s="21">
        <v>127</v>
      </c>
      <c r="B128" s="26" t="s">
        <v>38</v>
      </c>
      <c r="C128" s="26" t="s">
        <v>99</v>
      </c>
      <c r="D128" s="26" t="s">
        <v>388</v>
      </c>
      <c r="E128" s="21">
        <v>8289</v>
      </c>
      <c r="F128" s="21">
        <v>4089</v>
      </c>
      <c r="G128" s="21">
        <v>4200</v>
      </c>
      <c r="H128" s="21">
        <v>36.935250000000003</v>
      </c>
      <c r="I128" s="21">
        <v>-5.2676879999999997</v>
      </c>
      <c r="J128" s="21">
        <v>606.72879999999998</v>
      </c>
      <c r="K128" s="21">
        <v>127</v>
      </c>
      <c r="L128" s="21" t="b">
        <f t="shared" si="4"/>
        <v>0</v>
      </c>
      <c r="R128" s="26" t="s">
        <v>846</v>
      </c>
      <c r="S128" s="21">
        <v>694.83730000000003</v>
      </c>
    </row>
    <row r="129" spans="1:19" x14ac:dyDescent="0.25">
      <c r="A129" s="21">
        <v>128</v>
      </c>
      <c r="B129" s="26" t="s">
        <v>38</v>
      </c>
      <c r="C129" s="26" t="s">
        <v>100</v>
      </c>
      <c r="D129" s="26" t="s">
        <v>389</v>
      </c>
      <c r="E129" s="21">
        <v>5585</v>
      </c>
      <c r="F129" s="21">
        <v>2880</v>
      </c>
      <c r="G129" s="21">
        <v>2705</v>
      </c>
      <c r="H129" s="21">
        <v>36.523330000000001</v>
      </c>
      <c r="I129" s="21">
        <v>-5.866053</v>
      </c>
      <c r="J129" s="21">
        <v>125.9705</v>
      </c>
      <c r="K129" s="21">
        <v>128</v>
      </c>
      <c r="L129" s="21" t="b">
        <f t="shared" si="4"/>
        <v>0</v>
      </c>
      <c r="R129" s="26" t="s">
        <v>229</v>
      </c>
      <c r="S129" s="21">
        <v>113.9746</v>
      </c>
    </row>
    <row r="130" spans="1:19" x14ac:dyDescent="0.25">
      <c r="A130" s="21">
        <v>129</v>
      </c>
      <c r="B130" s="26" t="s">
        <v>38</v>
      </c>
      <c r="C130" s="26" t="s">
        <v>101</v>
      </c>
      <c r="D130" s="26" t="s">
        <v>390</v>
      </c>
      <c r="E130" s="21">
        <v>5819</v>
      </c>
      <c r="F130" s="21">
        <v>2908</v>
      </c>
      <c r="G130" s="21">
        <v>2911</v>
      </c>
      <c r="H130" s="21">
        <v>36.789679999999997</v>
      </c>
      <c r="I130" s="21">
        <v>-5.5555450000000004</v>
      </c>
      <c r="J130" s="21">
        <v>423.15289999999999</v>
      </c>
      <c r="K130" s="21">
        <v>129</v>
      </c>
      <c r="L130" s="21" t="b">
        <f t="shared" si="4"/>
        <v>0</v>
      </c>
      <c r="R130" s="26" t="s">
        <v>847</v>
      </c>
      <c r="S130" s="21">
        <v>169.0831</v>
      </c>
    </row>
    <row r="131" spans="1:19" x14ac:dyDescent="0.25">
      <c r="A131" s="21">
        <v>130</v>
      </c>
      <c r="B131" s="26" t="s">
        <v>38</v>
      </c>
      <c r="C131" s="26" t="s">
        <v>103</v>
      </c>
      <c r="D131" s="26" t="s">
        <v>391</v>
      </c>
      <c r="E131" s="21">
        <v>88335</v>
      </c>
      <c r="F131" s="21">
        <v>43424</v>
      </c>
      <c r="G131" s="21">
        <v>44911</v>
      </c>
      <c r="H131" s="21">
        <v>36.59695</v>
      </c>
      <c r="I131" s="21">
        <v>-6.2275260000000001</v>
      </c>
      <c r="J131" s="21">
        <v>14.763730000000001</v>
      </c>
      <c r="K131" s="21">
        <v>130</v>
      </c>
      <c r="L131" s="21" t="b">
        <f t="shared" ref="L131:L172" si="5">IF($O$1&lt;&gt;"",IF($O$1=$M$2,IFERROR(VLOOKUP($O$1,B131:D232,3,FALSE),""),IF($O$1=$M$3,IFERROR(VLOOKUP($O$1,B233:D276,3,FALSE),""),IF($O$1=$M$4,IFERROR(VLOOKUP($O$1,B277:D351,3,FALSE),""),IF($O$1=$M$5,IFERROR(VLOOKUP($O$1,B352:D521,3,FALSE),""),IF($O$1=$M$6,IFERROR(VLOOKUP($O$1,B522:D600,3,FALSE),""),IF($O$1=$M$7,IFERROR(VLOOKUP($O$1,B601:D697,3,FALSE),""),IF($O$1=$M$8,IFERROR(VLOOKUP($O$1,B698:D798,3,FALSE),""),IFERROR(VLOOKUP($O$1,B799:D903,3,FALSE),"")))))))))</f>
        <v>0</v>
      </c>
      <c r="R131" s="26" t="s">
        <v>848</v>
      </c>
      <c r="S131" s="21">
        <v>680.53250000000003</v>
      </c>
    </row>
    <row r="132" spans="1:19" x14ac:dyDescent="0.25">
      <c r="A132" s="21">
        <v>131</v>
      </c>
      <c r="B132" s="26" t="s">
        <v>38</v>
      </c>
      <c r="C132" s="26" t="s">
        <v>104</v>
      </c>
      <c r="D132" s="26" t="s">
        <v>392</v>
      </c>
      <c r="E132" s="21">
        <v>41509</v>
      </c>
      <c r="F132" s="21">
        <v>20911</v>
      </c>
      <c r="G132" s="21">
        <v>20598</v>
      </c>
      <c r="H132" s="21">
        <v>36.529119999999999</v>
      </c>
      <c r="I132" s="21">
        <v>-6.1918949999999997</v>
      </c>
      <c r="J132" s="21">
        <v>11.78617</v>
      </c>
      <c r="K132" s="21">
        <v>131</v>
      </c>
      <c r="L132" s="21" t="b">
        <f t="shared" si="5"/>
        <v>0</v>
      </c>
      <c r="R132" s="26" t="s">
        <v>849</v>
      </c>
      <c r="S132" s="21">
        <v>246.06540000000001</v>
      </c>
    </row>
    <row r="133" spans="1:19" x14ac:dyDescent="0.25">
      <c r="A133" s="21">
        <v>132</v>
      </c>
      <c r="B133" s="26" t="s">
        <v>38</v>
      </c>
      <c r="C133" s="26" t="s">
        <v>102</v>
      </c>
      <c r="D133" s="26" t="s">
        <v>393</v>
      </c>
      <c r="E133" s="21">
        <v>7145</v>
      </c>
      <c r="F133" s="21">
        <v>3613</v>
      </c>
      <c r="G133" s="21">
        <v>3532</v>
      </c>
      <c r="H133" s="21">
        <v>36.921590000000002</v>
      </c>
      <c r="I133" s="21">
        <v>-5.5456209999999997</v>
      </c>
      <c r="J133" s="21">
        <v>162.2749</v>
      </c>
      <c r="K133" s="21">
        <v>132</v>
      </c>
      <c r="L133" s="21" t="b">
        <f t="shared" si="5"/>
        <v>0</v>
      </c>
      <c r="R133" s="26" t="s">
        <v>505</v>
      </c>
      <c r="S133" s="21">
        <v>858.68709999999999</v>
      </c>
    </row>
    <row r="134" spans="1:19" x14ac:dyDescent="0.25">
      <c r="A134" s="21">
        <v>133</v>
      </c>
      <c r="B134" s="26" t="s">
        <v>38</v>
      </c>
      <c r="C134" s="26" t="s">
        <v>105</v>
      </c>
      <c r="D134" s="26" t="s">
        <v>394</v>
      </c>
      <c r="E134" s="21">
        <v>29123</v>
      </c>
      <c r="F134" s="21">
        <v>14545</v>
      </c>
      <c r="G134" s="21">
        <v>14578</v>
      </c>
      <c r="H134" s="21">
        <v>36.616990000000001</v>
      </c>
      <c r="I134" s="21">
        <v>-6.3582020000000004</v>
      </c>
      <c r="J134" s="21">
        <v>14.286530000000001</v>
      </c>
      <c r="K134" s="21">
        <v>133</v>
      </c>
      <c r="L134" s="21" t="b">
        <f t="shared" si="5"/>
        <v>0</v>
      </c>
      <c r="R134" s="26" t="s">
        <v>506</v>
      </c>
      <c r="S134" s="21">
        <v>848.78139999999996</v>
      </c>
    </row>
    <row r="135" spans="1:19" x14ac:dyDescent="0.25">
      <c r="A135" s="21">
        <v>134</v>
      </c>
      <c r="B135" s="26" t="s">
        <v>38</v>
      </c>
      <c r="C135" s="26" t="s">
        <v>106</v>
      </c>
      <c r="D135" s="26" t="s">
        <v>395</v>
      </c>
      <c r="E135" s="21">
        <v>96131</v>
      </c>
      <c r="F135" s="21">
        <v>47132</v>
      </c>
      <c r="G135" s="21">
        <v>48999</v>
      </c>
      <c r="H135" s="21">
        <v>36.465719999999997</v>
      </c>
      <c r="I135" s="21">
        <v>-6.1966260000000002</v>
      </c>
      <c r="J135" s="21">
        <v>21.143129999999999</v>
      </c>
      <c r="K135" s="21">
        <v>134</v>
      </c>
      <c r="L135" s="21" t="b">
        <f t="shared" si="5"/>
        <v>0</v>
      </c>
      <c r="R135" s="26" t="s">
        <v>373</v>
      </c>
      <c r="S135" s="21">
        <v>75.254589999999993</v>
      </c>
    </row>
    <row r="136" spans="1:19" x14ac:dyDescent="0.25">
      <c r="A136" s="21">
        <v>135</v>
      </c>
      <c r="B136" s="26" t="s">
        <v>38</v>
      </c>
      <c r="C136" s="26" t="s">
        <v>180</v>
      </c>
      <c r="D136" s="26" t="s">
        <v>396</v>
      </c>
      <c r="E136" s="21">
        <v>4427</v>
      </c>
      <c r="F136" s="21">
        <v>2261</v>
      </c>
      <c r="G136" s="21">
        <v>2166</v>
      </c>
      <c r="H136" s="21">
        <v>36.605539999999998</v>
      </c>
      <c r="I136" s="21">
        <v>-5.7989519999999999</v>
      </c>
      <c r="J136" s="21">
        <v>142.0624</v>
      </c>
      <c r="K136" s="21">
        <v>135</v>
      </c>
      <c r="L136" s="21" t="b">
        <f t="shared" si="5"/>
        <v>0</v>
      </c>
      <c r="R136" s="26" t="s">
        <v>850</v>
      </c>
      <c r="S136" s="21">
        <v>107.37</v>
      </c>
    </row>
    <row r="137" spans="1:19" x14ac:dyDescent="0.25">
      <c r="A137" s="21">
        <v>136</v>
      </c>
      <c r="B137" s="26" t="s">
        <v>38</v>
      </c>
      <c r="C137" s="26" t="s">
        <v>108</v>
      </c>
      <c r="D137" s="26" t="s">
        <v>397</v>
      </c>
      <c r="E137" s="21">
        <v>29373</v>
      </c>
      <c r="F137" s="21">
        <v>14652</v>
      </c>
      <c r="G137" s="21">
        <v>14721</v>
      </c>
      <c r="H137" s="21">
        <v>36.20975</v>
      </c>
      <c r="I137" s="21">
        <v>-5.3845720000000004</v>
      </c>
      <c r="J137" s="21">
        <v>106.10720000000001</v>
      </c>
      <c r="K137" s="21">
        <v>136</v>
      </c>
      <c r="L137" s="21" t="b">
        <f t="shared" si="5"/>
        <v>0</v>
      </c>
      <c r="R137" s="26" t="s">
        <v>507</v>
      </c>
      <c r="S137" s="21">
        <v>719.23469999999998</v>
      </c>
    </row>
    <row r="138" spans="1:19" x14ac:dyDescent="0.25">
      <c r="A138" s="21">
        <v>137</v>
      </c>
      <c r="B138" s="26" t="s">
        <v>38</v>
      </c>
      <c r="C138" s="26" t="s">
        <v>107</v>
      </c>
      <c r="D138" s="26" t="s">
        <v>398</v>
      </c>
      <c r="E138" s="21">
        <v>67433</v>
      </c>
      <c r="F138" s="21">
        <v>33621</v>
      </c>
      <c r="G138" s="21">
        <v>33812</v>
      </c>
      <c r="H138" s="21">
        <v>36.778820000000003</v>
      </c>
      <c r="I138" s="21">
        <v>-6.3541980000000002</v>
      </c>
      <c r="J138" s="21">
        <v>11.001099999999999</v>
      </c>
      <c r="K138" s="21">
        <v>137</v>
      </c>
      <c r="L138" s="21" t="b">
        <f t="shared" si="5"/>
        <v>0</v>
      </c>
      <c r="R138" s="26" t="s">
        <v>417</v>
      </c>
      <c r="S138" s="21">
        <v>458.93150000000003</v>
      </c>
    </row>
    <row r="139" spans="1:19" x14ac:dyDescent="0.25">
      <c r="A139" s="21">
        <v>138</v>
      </c>
      <c r="B139" s="26" t="s">
        <v>38</v>
      </c>
      <c r="C139" s="26" t="s">
        <v>109</v>
      </c>
      <c r="D139" s="26" t="s">
        <v>399</v>
      </c>
      <c r="E139" s="21">
        <v>2845</v>
      </c>
      <c r="F139" s="21">
        <v>1457</v>
      </c>
      <c r="G139" s="21">
        <v>1388</v>
      </c>
      <c r="H139" s="21">
        <v>36.864060000000002</v>
      </c>
      <c r="I139" s="21">
        <v>-5.181413</v>
      </c>
      <c r="J139" s="21">
        <v>555.04650000000004</v>
      </c>
      <c r="K139" s="21">
        <v>138</v>
      </c>
      <c r="L139" s="21" t="b">
        <f t="shared" si="5"/>
        <v>0</v>
      </c>
      <c r="R139" s="26" t="s">
        <v>851</v>
      </c>
      <c r="S139" s="21">
        <v>129.8485</v>
      </c>
    </row>
    <row r="140" spans="1:19" x14ac:dyDescent="0.25">
      <c r="A140" s="21">
        <v>139</v>
      </c>
      <c r="B140" s="26" t="s">
        <v>38</v>
      </c>
      <c r="C140" s="26" t="s">
        <v>110</v>
      </c>
      <c r="D140" s="26" t="s">
        <v>400</v>
      </c>
      <c r="E140" s="21">
        <v>18011</v>
      </c>
      <c r="F140" s="21">
        <v>9127</v>
      </c>
      <c r="G140" s="21">
        <v>8884</v>
      </c>
      <c r="H140" s="21">
        <v>36.012709999999998</v>
      </c>
      <c r="I140" s="21">
        <v>-5.6029540000000004</v>
      </c>
      <c r="J140" s="21">
        <v>14.66109</v>
      </c>
      <c r="K140" s="21">
        <v>139</v>
      </c>
      <c r="L140" s="21" t="b">
        <f t="shared" si="5"/>
        <v>0</v>
      </c>
      <c r="R140" s="26" t="s">
        <v>374</v>
      </c>
      <c r="S140" s="21">
        <v>792.07039999999995</v>
      </c>
    </row>
    <row r="141" spans="1:19" x14ac:dyDescent="0.25">
      <c r="A141" s="21">
        <v>140</v>
      </c>
      <c r="B141" s="26" t="s">
        <v>38</v>
      </c>
      <c r="C141" s="26" t="s">
        <v>111</v>
      </c>
      <c r="D141" s="26" t="s">
        <v>401</v>
      </c>
      <c r="E141" s="21">
        <v>779</v>
      </c>
      <c r="F141" s="21">
        <v>399</v>
      </c>
      <c r="G141" s="21">
        <v>380</v>
      </c>
      <c r="H141" s="21">
        <v>36.915529999999997</v>
      </c>
      <c r="I141" s="21">
        <v>-5.2347359999999998</v>
      </c>
      <c r="J141" s="21">
        <v>471.36439999999999</v>
      </c>
      <c r="K141" s="21">
        <v>140</v>
      </c>
      <c r="L141" s="21" t="b">
        <f t="shared" si="5"/>
        <v>0</v>
      </c>
      <c r="R141" s="26" t="s">
        <v>852</v>
      </c>
      <c r="S141" s="21">
        <v>565.65409999999997</v>
      </c>
    </row>
    <row r="142" spans="1:19" x14ac:dyDescent="0.25">
      <c r="A142" s="21">
        <v>141</v>
      </c>
      <c r="B142" s="26" t="s">
        <v>38</v>
      </c>
      <c r="C142" s="26" t="s">
        <v>112</v>
      </c>
      <c r="D142" s="26" t="s">
        <v>402</v>
      </c>
      <c r="E142" s="21">
        <v>7072</v>
      </c>
      <c r="F142" s="21">
        <v>3542</v>
      </c>
      <c r="G142" s="21">
        <v>3530</v>
      </c>
      <c r="H142" s="21">
        <v>36.869509999999998</v>
      </c>
      <c r="I142" s="21">
        <v>-6.1766949999999996</v>
      </c>
      <c r="J142" s="21">
        <v>72.169420000000002</v>
      </c>
      <c r="K142" s="21">
        <v>141</v>
      </c>
      <c r="L142" s="21" t="b">
        <f t="shared" si="5"/>
        <v>0</v>
      </c>
      <c r="R142" s="26" t="s">
        <v>853</v>
      </c>
      <c r="S142" s="21">
        <v>536.67160000000001</v>
      </c>
    </row>
    <row r="143" spans="1:19" x14ac:dyDescent="0.25">
      <c r="A143" s="21">
        <v>142</v>
      </c>
      <c r="B143" s="26" t="s">
        <v>38</v>
      </c>
      <c r="C143" s="26" t="s">
        <v>113</v>
      </c>
      <c r="D143" s="26" t="s">
        <v>403</v>
      </c>
      <c r="E143" s="21">
        <v>16836</v>
      </c>
      <c r="F143" s="21">
        <v>8294</v>
      </c>
      <c r="G143" s="21">
        <v>8542</v>
      </c>
      <c r="H143" s="21">
        <v>36.677709999999998</v>
      </c>
      <c r="I143" s="21">
        <v>-5.4465570000000003</v>
      </c>
      <c r="J143" s="21">
        <v>326.72329999999999</v>
      </c>
      <c r="K143" s="21">
        <v>142</v>
      </c>
      <c r="L143" s="21" t="b">
        <f t="shared" si="5"/>
        <v>0</v>
      </c>
      <c r="R143" s="26" t="s">
        <v>745</v>
      </c>
      <c r="S143" s="21">
        <v>854.92319999999995</v>
      </c>
    </row>
    <row r="144" spans="1:19" x14ac:dyDescent="0.25">
      <c r="A144" s="21">
        <v>143</v>
      </c>
      <c r="B144" s="26" t="s">
        <v>38</v>
      </c>
      <c r="C144" s="26" t="s">
        <v>114</v>
      </c>
      <c r="D144" s="26" t="s">
        <v>404</v>
      </c>
      <c r="E144" s="21">
        <v>12812</v>
      </c>
      <c r="F144" s="21">
        <v>6412</v>
      </c>
      <c r="G144" s="21">
        <v>6400</v>
      </c>
      <c r="H144" s="21">
        <v>36.253309999999999</v>
      </c>
      <c r="I144" s="21">
        <v>-5.9628560000000004</v>
      </c>
      <c r="J144" s="21">
        <v>178.6806</v>
      </c>
      <c r="K144" s="21">
        <v>143</v>
      </c>
      <c r="L144" s="21" t="b">
        <f t="shared" si="5"/>
        <v>0</v>
      </c>
      <c r="R144" s="26" t="s">
        <v>230</v>
      </c>
      <c r="S144" s="21">
        <v>945.0856</v>
      </c>
    </row>
    <row r="145" spans="1:19" x14ac:dyDescent="0.25">
      <c r="A145" s="21">
        <v>144</v>
      </c>
      <c r="B145" s="26" t="s">
        <v>38</v>
      </c>
      <c r="C145" s="26" t="s">
        <v>115</v>
      </c>
      <c r="D145" s="26" t="s">
        <v>405</v>
      </c>
      <c r="E145" s="21">
        <v>471</v>
      </c>
      <c r="F145" s="21">
        <v>248</v>
      </c>
      <c r="G145" s="21">
        <v>223</v>
      </c>
      <c r="H145" s="21">
        <v>36.695869999999999</v>
      </c>
      <c r="I145" s="21">
        <v>-5.3881370000000004</v>
      </c>
      <c r="J145" s="21">
        <v>874.97239999999999</v>
      </c>
      <c r="K145" s="21">
        <v>144</v>
      </c>
      <c r="L145" s="21" t="b">
        <f t="shared" si="5"/>
        <v>0</v>
      </c>
      <c r="R145" s="26" t="s">
        <v>231</v>
      </c>
      <c r="S145" s="21">
        <v>933.74749999999995</v>
      </c>
    </row>
    <row r="146" spans="1:19" x14ac:dyDescent="0.25">
      <c r="A146" s="21">
        <v>145</v>
      </c>
      <c r="B146" s="26" t="s">
        <v>38</v>
      </c>
      <c r="C146" s="26" t="s">
        <v>116</v>
      </c>
      <c r="D146" s="26" t="s">
        <v>406</v>
      </c>
      <c r="E146" s="21">
        <v>12271</v>
      </c>
      <c r="F146" s="21">
        <v>6177</v>
      </c>
      <c r="G146" s="21">
        <v>6094</v>
      </c>
      <c r="H146" s="21">
        <v>36.861319999999999</v>
      </c>
      <c r="I146" s="21">
        <v>-5.6418340000000002</v>
      </c>
      <c r="J146" s="21">
        <v>167.8091</v>
      </c>
      <c r="K146" s="21">
        <v>145</v>
      </c>
      <c r="L146" s="21" t="b">
        <f t="shared" si="5"/>
        <v>0</v>
      </c>
      <c r="R146" s="26" t="s">
        <v>232</v>
      </c>
      <c r="S146" s="21">
        <v>319.8048</v>
      </c>
    </row>
    <row r="147" spans="1:19" x14ac:dyDescent="0.25">
      <c r="A147" s="21">
        <v>146</v>
      </c>
      <c r="B147" s="26" t="s">
        <v>38</v>
      </c>
      <c r="C147" s="26" t="s">
        <v>117</v>
      </c>
      <c r="D147" s="26" t="s">
        <v>407</v>
      </c>
      <c r="E147" s="21">
        <v>1436</v>
      </c>
      <c r="F147" s="21">
        <v>735</v>
      </c>
      <c r="G147" s="21">
        <v>701</v>
      </c>
      <c r="H147" s="21">
        <v>36.840530000000001</v>
      </c>
      <c r="I147" s="21">
        <v>-5.3905469999999998</v>
      </c>
      <c r="J147" s="21">
        <v>507.40480000000002</v>
      </c>
      <c r="K147" s="21">
        <v>146</v>
      </c>
      <c r="L147" s="21" t="b">
        <f t="shared" si="5"/>
        <v>0</v>
      </c>
      <c r="R147" s="26" t="s">
        <v>508</v>
      </c>
      <c r="S147" s="21">
        <v>1330.123</v>
      </c>
    </row>
    <row r="148" spans="1:19" x14ac:dyDescent="0.25">
      <c r="A148" s="21">
        <v>147</v>
      </c>
      <c r="B148" s="26" t="s">
        <v>41</v>
      </c>
      <c r="C148" s="26" t="s">
        <v>76</v>
      </c>
      <c r="D148" s="26" t="s">
        <v>408</v>
      </c>
      <c r="E148" s="21">
        <v>4317</v>
      </c>
      <c r="F148" s="21">
        <v>2214</v>
      </c>
      <c r="G148" s="21">
        <v>2103</v>
      </c>
      <c r="H148" s="21">
        <v>38.027360000000002</v>
      </c>
      <c r="I148" s="21">
        <v>-4.5248730000000004</v>
      </c>
      <c r="J148" s="21">
        <v>245.24379999999999</v>
      </c>
      <c r="K148" s="21">
        <v>147</v>
      </c>
      <c r="L148" s="21" t="b">
        <f t="shared" si="5"/>
        <v>0</v>
      </c>
      <c r="R148" s="26" t="s">
        <v>233</v>
      </c>
      <c r="S148" s="21">
        <v>340.78629999999998</v>
      </c>
    </row>
    <row r="149" spans="1:19" x14ac:dyDescent="0.25">
      <c r="A149" s="21">
        <v>148</v>
      </c>
      <c r="B149" s="26" t="s">
        <v>41</v>
      </c>
      <c r="C149" s="26" t="s">
        <v>77</v>
      </c>
      <c r="D149" s="26" t="s">
        <v>409</v>
      </c>
      <c r="E149" s="21">
        <v>13551</v>
      </c>
      <c r="F149" s="21">
        <v>6832</v>
      </c>
      <c r="G149" s="21">
        <v>6719</v>
      </c>
      <c r="H149" s="21">
        <v>37.515030000000003</v>
      </c>
      <c r="I149" s="21">
        <v>-4.6560569999999997</v>
      </c>
      <c r="J149" s="21">
        <v>374.59629999999999</v>
      </c>
      <c r="K149" s="21">
        <v>148</v>
      </c>
      <c r="L149" s="21" t="b">
        <f t="shared" si="5"/>
        <v>0</v>
      </c>
      <c r="R149" s="26" t="s">
        <v>662</v>
      </c>
      <c r="S149" s="21">
        <v>465.07619999999997</v>
      </c>
    </row>
    <row r="150" spans="1:19" x14ac:dyDescent="0.25">
      <c r="A150" s="21">
        <v>149</v>
      </c>
      <c r="B150" s="26" t="s">
        <v>41</v>
      </c>
      <c r="C150" s="26" t="s">
        <v>78</v>
      </c>
      <c r="D150" s="26" t="s">
        <v>410</v>
      </c>
      <c r="E150" s="21">
        <v>1523</v>
      </c>
      <c r="F150" s="21">
        <v>731</v>
      </c>
      <c r="G150" s="21">
        <v>792</v>
      </c>
      <c r="H150" s="21">
        <v>38.38823</v>
      </c>
      <c r="I150" s="21">
        <v>-4.9676840000000002</v>
      </c>
      <c r="J150" s="21">
        <v>611.31100000000004</v>
      </c>
      <c r="K150" s="21">
        <v>149</v>
      </c>
      <c r="L150" s="21" t="b">
        <f t="shared" si="5"/>
        <v>0</v>
      </c>
      <c r="R150" s="26" t="s">
        <v>418</v>
      </c>
      <c r="S150" s="21">
        <v>594.35820000000001</v>
      </c>
    </row>
    <row r="151" spans="1:19" x14ac:dyDescent="0.25">
      <c r="A151" s="21">
        <v>150</v>
      </c>
      <c r="B151" s="26" t="s">
        <v>41</v>
      </c>
      <c r="C151" s="26" t="s">
        <v>79</v>
      </c>
      <c r="D151" s="26" t="s">
        <v>411</v>
      </c>
      <c r="E151" s="21">
        <v>2455</v>
      </c>
      <c r="F151" s="21">
        <v>1230</v>
      </c>
      <c r="G151" s="21">
        <v>1225</v>
      </c>
      <c r="H151" s="21">
        <v>37.439</v>
      </c>
      <c r="I151" s="21">
        <v>-4.0912050000000004</v>
      </c>
      <c r="J151" s="21">
        <v>643.67619999999999</v>
      </c>
      <c r="K151" s="21">
        <v>150</v>
      </c>
      <c r="L151" s="21" t="b">
        <f t="shared" si="5"/>
        <v>0</v>
      </c>
      <c r="R151" s="26" t="s">
        <v>940</v>
      </c>
      <c r="S151" s="21">
        <v>89.166150000000002</v>
      </c>
    </row>
    <row r="152" spans="1:19" x14ac:dyDescent="0.25">
      <c r="A152" s="21">
        <v>151</v>
      </c>
      <c r="B152" s="26" t="s">
        <v>41</v>
      </c>
      <c r="C152" s="26" t="s">
        <v>80</v>
      </c>
      <c r="D152" s="26" t="s">
        <v>412</v>
      </c>
      <c r="E152" s="21">
        <v>7961</v>
      </c>
      <c r="F152" s="21">
        <v>3988</v>
      </c>
      <c r="G152" s="21">
        <v>3973</v>
      </c>
      <c r="H152" s="21">
        <v>37.80959</v>
      </c>
      <c r="I152" s="21">
        <v>-5.0199579999999999</v>
      </c>
      <c r="J152" s="21">
        <v>119.83799999999999</v>
      </c>
      <c r="K152" s="21">
        <v>151</v>
      </c>
      <c r="L152" s="21" t="b">
        <f t="shared" si="5"/>
        <v>0</v>
      </c>
      <c r="R152" s="26" t="s">
        <v>663</v>
      </c>
      <c r="S152" s="21">
        <v>116.0159</v>
      </c>
    </row>
    <row r="153" spans="1:19" x14ac:dyDescent="0.25">
      <c r="A153" s="21">
        <v>152</v>
      </c>
      <c r="B153" s="26" t="s">
        <v>41</v>
      </c>
      <c r="C153" s="26" t="s">
        <v>81</v>
      </c>
      <c r="D153" s="26" t="s">
        <v>413</v>
      </c>
      <c r="E153" s="21">
        <v>1563</v>
      </c>
      <c r="F153" s="21">
        <v>768</v>
      </c>
      <c r="G153" s="21">
        <v>795</v>
      </c>
      <c r="H153" s="21">
        <v>38.410989999999998</v>
      </c>
      <c r="I153" s="21">
        <v>-4.8974609999999998</v>
      </c>
      <c r="J153" s="21">
        <v>629.97389999999996</v>
      </c>
      <c r="K153" s="21">
        <v>152</v>
      </c>
      <c r="L153" s="21" t="b">
        <f t="shared" si="5"/>
        <v>0</v>
      </c>
      <c r="R153" s="26" t="s">
        <v>664</v>
      </c>
      <c r="S153" s="21">
        <v>82.236580000000004</v>
      </c>
    </row>
    <row r="154" spans="1:19" x14ac:dyDescent="0.25">
      <c r="A154" s="21">
        <v>153</v>
      </c>
      <c r="B154" s="26" t="s">
        <v>41</v>
      </c>
      <c r="C154" s="26" t="s">
        <v>82</v>
      </c>
      <c r="D154" s="26" t="s">
        <v>414</v>
      </c>
      <c r="E154" s="21">
        <v>19802</v>
      </c>
      <c r="F154" s="21">
        <v>10143</v>
      </c>
      <c r="G154" s="21">
        <v>9659</v>
      </c>
      <c r="H154" s="21">
        <v>37.614409999999999</v>
      </c>
      <c r="I154" s="21">
        <v>-4.3260889999999996</v>
      </c>
      <c r="J154" s="21">
        <v>432.86410000000001</v>
      </c>
      <c r="K154" s="21">
        <v>153</v>
      </c>
      <c r="L154" s="21" t="b">
        <f t="shared" si="5"/>
        <v>0</v>
      </c>
      <c r="R154" s="26" t="s">
        <v>854</v>
      </c>
      <c r="S154" s="21">
        <v>253.297</v>
      </c>
    </row>
    <row r="155" spans="1:19" x14ac:dyDescent="0.25">
      <c r="A155" s="21">
        <v>154</v>
      </c>
      <c r="B155" s="26" t="s">
        <v>41</v>
      </c>
      <c r="C155" s="26" t="s">
        <v>83</v>
      </c>
      <c r="D155" s="26" t="s">
        <v>415</v>
      </c>
      <c r="E155" s="21">
        <v>3437</v>
      </c>
      <c r="F155" s="21">
        <v>1647</v>
      </c>
      <c r="G155" s="21">
        <v>1790</v>
      </c>
      <c r="H155" s="21">
        <v>38.578429999999997</v>
      </c>
      <c r="I155" s="21">
        <v>-5.1671189999999996</v>
      </c>
      <c r="J155" s="21">
        <v>492.91090000000003</v>
      </c>
      <c r="K155" s="21">
        <v>154</v>
      </c>
      <c r="L155" s="21" t="b">
        <f t="shared" si="5"/>
        <v>0</v>
      </c>
      <c r="R155" s="26" t="s">
        <v>941</v>
      </c>
      <c r="S155" s="21">
        <v>100.3896</v>
      </c>
    </row>
    <row r="156" spans="1:19" x14ac:dyDescent="0.25">
      <c r="A156" s="21">
        <v>155</v>
      </c>
      <c r="B156" s="26" t="s">
        <v>41</v>
      </c>
      <c r="C156" s="26" t="s">
        <v>84</v>
      </c>
      <c r="D156" s="26" t="s">
        <v>416</v>
      </c>
      <c r="E156" s="21">
        <v>3119</v>
      </c>
      <c r="F156" s="21">
        <v>1516</v>
      </c>
      <c r="G156" s="21">
        <v>1603</v>
      </c>
      <c r="H156" s="21">
        <v>38.27234</v>
      </c>
      <c r="I156" s="21">
        <v>-5.2087529999999997</v>
      </c>
      <c r="J156" s="21">
        <v>530.03880000000004</v>
      </c>
      <c r="K156" s="21">
        <v>155</v>
      </c>
      <c r="L156" s="21" t="b">
        <f t="shared" si="5"/>
        <v>0</v>
      </c>
      <c r="R156" s="26" t="s">
        <v>375</v>
      </c>
      <c r="S156" s="21">
        <v>153.59129999999999</v>
      </c>
    </row>
    <row r="157" spans="1:19" x14ac:dyDescent="0.25">
      <c r="A157" s="21">
        <v>156</v>
      </c>
      <c r="B157" s="26" t="s">
        <v>41</v>
      </c>
      <c r="C157" s="26" t="s">
        <v>85</v>
      </c>
      <c r="D157" s="26" t="s">
        <v>417</v>
      </c>
      <c r="E157" s="21">
        <v>5060</v>
      </c>
      <c r="F157" s="21">
        <v>2515</v>
      </c>
      <c r="G157" s="21">
        <v>2545</v>
      </c>
      <c r="H157" s="21">
        <v>37.267319999999998</v>
      </c>
      <c r="I157" s="21">
        <v>-4.5404179999999998</v>
      </c>
      <c r="J157" s="21">
        <v>458.93150000000003</v>
      </c>
      <c r="K157" s="21">
        <v>156</v>
      </c>
      <c r="L157" s="21" t="b">
        <f t="shared" si="5"/>
        <v>0</v>
      </c>
      <c r="R157" s="26" t="s">
        <v>376</v>
      </c>
      <c r="S157" s="21">
        <v>273.18610000000001</v>
      </c>
    </row>
    <row r="158" spans="1:19" x14ac:dyDescent="0.25">
      <c r="A158" s="21">
        <v>157</v>
      </c>
      <c r="B158" s="26" t="s">
        <v>41</v>
      </c>
      <c r="C158" s="26" t="s">
        <v>86</v>
      </c>
      <c r="D158" s="26" t="s">
        <v>418</v>
      </c>
      <c r="E158" s="21">
        <v>703</v>
      </c>
      <c r="F158" s="21">
        <v>367</v>
      </c>
      <c r="G158" s="21">
        <v>336</v>
      </c>
      <c r="H158" s="21">
        <v>38.406500000000001</v>
      </c>
      <c r="I158" s="21">
        <v>-5.4389880000000002</v>
      </c>
      <c r="J158" s="21">
        <v>594.35820000000001</v>
      </c>
      <c r="K158" s="21">
        <v>157</v>
      </c>
      <c r="L158" s="21" t="b">
        <f t="shared" si="5"/>
        <v>0</v>
      </c>
      <c r="R158" s="26" t="s">
        <v>942</v>
      </c>
      <c r="S158" s="21">
        <v>20.4634</v>
      </c>
    </row>
    <row r="159" spans="1:19" x14ac:dyDescent="0.25">
      <c r="A159" s="21">
        <v>158</v>
      </c>
      <c r="B159" s="26" t="s">
        <v>41</v>
      </c>
      <c r="C159" s="26" t="s">
        <v>87</v>
      </c>
      <c r="D159" s="26" t="s">
        <v>419</v>
      </c>
      <c r="E159" s="21">
        <v>7693</v>
      </c>
      <c r="F159" s="21">
        <v>3839</v>
      </c>
      <c r="G159" s="21">
        <v>3854</v>
      </c>
      <c r="H159" s="21">
        <v>37.896569999999997</v>
      </c>
      <c r="I159" s="21">
        <v>-4.3835879999999996</v>
      </c>
      <c r="J159" s="21">
        <v>345.50779999999997</v>
      </c>
      <c r="K159" s="21">
        <v>158</v>
      </c>
      <c r="L159" s="21" t="b">
        <f t="shared" si="5"/>
        <v>0</v>
      </c>
      <c r="R159" s="26" t="s">
        <v>509</v>
      </c>
      <c r="S159" s="21">
        <v>1298.578</v>
      </c>
    </row>
    <row r="160" spans="1:19" x14ac:dyDescent="0.25">
      <c r="A160" s="21">
        <v>159</v>
      </c>
      <c r="B160" s="26" t="s">
        <v>41</v>
      </c>
      <c r="C160" s="26" t="s">
        <v>89</v>
      </c>
      <c r="D160" s="26" t="s">
        <v>420</v>
      </c>
      <c r="E160" s="21">
        <v>20837</v>
      </c>
      <c r="F160" s="21">
        <v>10196</v>
      </c>
      <c r="G160" s="21">
        <v>10641</v>
      </c>
      <c r="H160" s="21">
        <v>37.47437</v>
      </c>
      <c r="I160" s="21">
        <v>-4.4259310000000003</v>
      </c>
      <c r="J160" s="21">
        <v>503.6198</v>
      </c>
      <c r="K160" s="21">
        <v>159</v>
      </c>
      <c r="L160" s="21" t="b">
        <f t="shared" si="5"/>
        <v>0</v>
      </c>
      <c r="R160" s="26" t="s">
        <v>419</v>
      </c>
      <c r="S160" s="21">
        <v>345.50779999999997</v>
      </c>
    </row>
    <row r="161" spans="1:19" x14ac:dyDescent="0.25">
      <c r="A161" s="21">
        <v>160</v>
      </c>
      <c r="B161" s="26" t="s">
        <v>41</v>
      </c>
      <c r="C161" s="26" t="s">
        <v>88</v>
      </c>
      <c r="D161" s="26" t="s">
        <v>421</v>
      </c>
      <c r="E161" s="21">
        <v>3010</v>
      </c>
      <c r="F161" s="21">
        <v>1540</v>
      </c>
      <c r="G161" s="21">
        <v>1470</v>
      </c>
      <c r="H161" s="21">
        <v>37.86741</v>
      </c>
      <c r="I161" s="21">
        <v>-4.3188190000000004</v>
      </c>
      <c r="J161" s="21">
        <v>320.61169999999998</v>
      </c>
      <c r="K161" s="21">
        <v>160</v>
      </c>
      <c r="L161" s="21" t="b">
        <f t="shared" si="5"/>
        <v>0</v>
      </c>
      <c r="R161" s="26" t="s">
        <v>855</v>
      </c>
      <c r="S161" s="21">
        <v>578.50440000000003</v>
      </c>
    </row>
    <row r="162" spans="1:19" x14ac:dyDescent="0.25">
      <c r="A162" s="21">
        <v>161</v>
      </c>
      <c r="B162" s="26" t="s">
        <v>41</v>
      </c>
      <c r="C162" s="26" t="s">
        <v>90</v>
      </c>
      <c r="D162" s="26" t="s">
        <v>422</v>
      </c>
      <c r="E162" s="21">
        <v>2595</v>
      </c>
      <c r="F162" s="21">
        <v>1323</v>
      </c>
      <c r="G162" s="21">
        <v>1272</v>
      </c>
      <c r="H162" s="21">
        <v>37.44359</v>
      </c>
      <c r="I162" s="21">
        <v>-4.2734360000000002</v>
      </c>
      <c r="J162" s="21">
        <v>628.28570000000002</v>
      </c>
      <c r="K162" s="21">
        <v>161</v>
      </c>
      <c r="L162" s="21" t="b">
        <f t="shared" si="5"/>
        <v>0</v>
      </c>
      <c r="R162" s="26" t="s">
        <v>943</v>
      </c>
      <c r="S162" s="21">
        <v>82.898300000000006</v>
      </c>
    </row>
    <row r="163" spans="1:19" x14ac:dyDescent="0.25">
      <c r="A163" s="21">
        <v>162</v>
      </c>
      <c r="B163" s="26" t="s">
        <v>41</v>
      </c>
      <c r="C163" s="26" t="s">
        <v>91</v>
      </c>
      <c r="D163" s="26" t="s">
        <v>423</v>
      </c>
      <c r="E163" s="21">
        <v>1604</v>
      </c>
      <c r="F163" s="21">
        <v>810</v>
      </c>
      <c r="G163" s="21">
        <v>794</v>
      </c>
      <c r="H163" s="21">
        <v>38.270470000000003</v>
      </c>
      <c r="I163" s="21">
        <v>-4.3237300000000003</v>
      </c>
      <c r="J163" s="21">
        <v>747.52340000000004</v>
      </c>
      <c r="K163" s="21">
        <v>162</v>
      </c>
      <c r="L163" s="21" t="b">
        <f t="shared" si="5"/>
        <v>0</v>
      </c>
      <c r="R163" s="26" t="s">
        <v>510</v>
      </c>
      <c r="S163" s="21">
        <v>1160.204</v>
      </c>
    </row>
    <row r="164" spans="1:19" x14ac:dyDescent="0.25">
      <c r="A164" s="21">
        <v>163</v>
      </c>
      <c r="B164" s="26" t="s">
        <v>41</v>
      </c>
      <c r="C164" s="26" t="s">
        <v>92</v>
      </c>
      <c r="D164" s="26" t="s">
        <v>424</v>
      </c>
      <c r="E164" s="21">
        <v>13929</v>
      </c>
      <c r="F164" s="21">
        <v>7023</v>
      </c>
      <c r="G164" s="21">
        <v>6906</v>
      </c>
      <c r="H164" s="21">
        <v>37.673609999999996</v>
      </c>
      <c r="I164" s="21">
        <v>-4.9325530000000004</v>
      </c>
      <c r="J164" s="21">
        <v>215.45660000000001</v>
      </c>
      <c r="K164" s="21">
        <v>163</v>
      </c>
      <c r="L164" s="21" t="b">
        <f t="shared" si="5"/>
        <v>0</v>
      </c>
      <c r="R164" s="26" t="s">
        <v>944</v>
      </c>
      <c r="S164" s="21">
        <v>66.066379999999995</v>
      </c>
    </row>
    <row r="165" spans="1:19" x14ac:dyDescent="0.25">
      <c r="A165" s="21">
        <v>164</v>
      </c>
      <c r="B165" s="26" t="s">
        <v>41</v>
      </c>
      <c r="C165" s="26" t="s">
        <v>93</v>
      </c>
      <c r="D165" s="26" t="s">
        <v>425</v>
      </c>
      <c r="E165" s="21">
        <v>4496</v>
      </c>
      <c r="F165" s="21">
        <v>2240</v>
      </c>
      <c r="G165" s="21">
        <v>2256</v>
      </c>
      <c r="H165" s="21">
        <v>37.940539999999999</v>
      </c>
      <c r="I165" s="21">
        <v>-4.4987750000000002</v>
      </c>
      <c r="J165" s="21">
        <v>180.5471</v>
      </c>
      <c r="K165" s="21">
        <v>164</v>
      </c>
      <c r="L165" s="21" t="b">
        <f t="shared" si="5"/>
        <v>0</v>
      </c>
      <c r="R165" s="26" t="s">
        <v>665</v>
      </c>
      <c r="S165" s="21">
        <v>222.5471</v>
      </c>
    </row>
    <row r="166" spans="1:19" x14ac:dyDescent="0.25">
      <c r="A166" s="21">
        <v>165</v>
      </c>
      <c r="B166" s="26" t="s">
        <v>41</v>
      </c>
      <c r="C166" s="26" t="s">
        <v>94</v>
      </c>
      <c r="D166" s="26" t="s">
        <v>426</v>
      </c>
      <c r="E166" s="21">
        <v>7972</v>
      </c>
      <c r="F166" s="21">
        <v>3943</v>
      </c>
      <c r="G166" s="21">
        <v>4029</v>
      </c>
      <c r="H166" s="21">
        <v>37.688639999999999</v>
      </c>
      <c r="I166" s="21">
        <v>-4.481579</v>
      </c>
      <c r="J166" s="21">
        <v>229.52850000000001</v>
      </c>
      <c r="K166" s="21">
        <v>165</v>
      </c>
      <c r="L166" s="21" t="b">
        <f t="shared" si="5"/>
        <v>0</v>
      </c>
      <c r="R166" s="26" t="s">
        <v>420</v>
      </c>
      <c r="S166" s="21">
        <v>503.6198</v>
      </c>
    </row>
    <row r="167" spans="1:19" x14ac:dyDescent="0.25">
      <c r="A167" s="21">
        <v>166</v>
      </c>
      <c r="B167" s="26" t="s">
        <v>41</v>
      </c>
      <c r="C167" s="26" t="s">
        <v>95</v>
      </c>
      <c r="D167" s="26" t="s">
        <v>427</v>
      </c>
      <c r="E167" s="21">
        <v>438</v>
      </c>
      <c r="F167" s="21">
        <v>219</v>
      </c>
      <c r="G167" s="21">
        <v>219</v>
      </c>
      <c r="H167" s="21">
        <v>38.408439999999999</v>
      </c>
      <c r="I167" s="21">
        <v>-4.5009680000000003</v>
      </c>
      <c r="J167" s="21">
        <v>597.36749999999995</v>
      </c>
      <c r="K167" s="21">
        <v>166</v>
      </c>
      <c r="L167" s="21" t="b">
        <f t="shared" si="5"/>
        <v>0</v>
      </c>
      <c r="R167" s="26" t="s">
        <v>746</v>
      </c>
      <c r="S167" s="21">
        <v>946.84749999999997</v>
      </c>
    </row>
    <row r="168" spans="1:19" x14ac:dyDescent="0.25">
      <c r="A168" s="21">
        <v>167</v>
      </c>
      <c r="B168" s="26" t="s">
        <v>41</v>
      </c>
      <c r="C168" s="26" t="s">
        <v>96</v>
      </c>
      <c r="D168" s="26" t="s">
        <v>41</v>
      </c>
      <c r="E168" s="21">
        <v>327362</v>
      </c>
      <c r="F168" s="21">
        <v>157311</v>
      </c>
      <c r="G168" s="21">
        <v>170051</v>
      </c>
      <c r="H168" s="21">
        <v>37.884729999999998</v>
      </c>
      <c r="I168" s="21">
        <v>-4.7791519999999998</v>
      </c>
      <c r="J168" s="21">
        <v>131.9102</v>
      </c>
      <c r="K168" s="21">
        <v>167</v>
      </c>
      <c r="L168" s="21" t="b">
        <f t="shared" si="5"/>
        <v>0</v>
      </c>
      <c r="R168" s="26" t="s">
        <v>511</v>
      </c>
      <c r="S168" s="21">
        <v>701.99789999999996</v>
      </c>
    </row>
    <row r="169" spans="1:19" x14ac:dyDescent="0.25">
      <c r="A169" s="21">
        <v>168</v>
      </c>
      <c r="B169" s="26" t="s">
        <v>41</v>
      </c>
      <c r="C169" s="26" t="s">
        <v>97</v>
      </c>
      <c r="D169" s="26" t="s">
        <v>428</v>
      </c>
      <c r="E169" s="21">
        <v>4882</v>
      </c>
      <c r="F169" s="21">
        <v>2372</v>
      </c>
      <c r="G169" s="21">
        <v>2510</v>
      </c>
      <c r="H169" s="21">
        <v>37.554569999999998</v>
      </c>
      <c r="I169" s="21">
        <v>-4.3576030000000001</v>
      </c>
      <c r="J169" s="21">
        <v>598.43640000000005</v>
      </c>
      <c r="K169" s="21">
        <v>168</v>
      </c>
      <c r="L169" s="21" t="b">
        <f t="shared" si="5"/>
        <v>0</v>
      </c>
      <c r="R169" s="26" t="s">
        <v>512</v>
      </c>
      <c r="S169" s="21">
        <v>926.38699999999994</v>
      </c>
    </row>
    <row r="170" spans="1:19" x14ac:dyDescent="0.25">
      <c r="A170" s="21">
        <v>169</v>
      </c>
      <c r="B170" s="26" t="s">
        <v>41</v>
      </c>
      <c r="C170" s="26" t="s">
        <v>98</v>
      </c>
      <c r="D170" s="26" t="s">
        <v>429</v>
      </c>
      <c r="E170" s="21">
        <v>2457</v>
      </c>
      <c r="F170" s="21">
        <v>1219</v>
      </c>
      <c r="G170" s="21">
        <v>1238</v>
      </c>
      <c r="H170" s="21">
        <v>38.445239999999998</v>
      </c>
      <c r="I170" s="21">
        <v>-4.8949319999999998</v>
      </c>
      <c r="J170" s="21">
        <v>589.47720000000004</v>
      </c>
      <c r="K170" s="21">
        <v>169</v>
      </c>
      <c r="L170" s="21" t="b">
        <f t="shared" si="5"/>
        <v>0</v>
      </c>
      <c r="R170" s="26" t="s">
        <v>38</v>
      </c>
      <c r="S170" s="21">
        <v>15.424149999999999</v>
      </c>
    </row>
    <row r="171" spans="1:19" x14ac:dyDescent="0.25">
      <c r="A171" s="21">
        <v>170</v>
      </c>
      <c r="B171" s="26" t="s">
        <v>41</v>
      </c>
      <c r="C171" s="26" t="s">
        <v>99</v>
      </c>
      <c r="D171" s="26" t="s">
        <v>430</v>
      </c>
      <c r="E171" s="21">
        <v>2343</v>
      </c>
      <c r="F171" s="21">
        <v>1159</v>
      </c>
      <c r="G171" s="21">
        <v>1184</v>
      </c>
      <c r="H171" s="21">
        <v>37.274880000000003</v>
      </c>
      <c r="I171" s="21">
        <v>-4.4897169999999997</v>
      </c>
      <c r="J171" s="21">
        <v>446.92309999999998</v>
      </c>
      <c r="K171" s="21">
        <v>170</v>
      </c>
      <c r="L171" s="21" t="b">
        <f t="shared" si="5"/>
        <v>0</v>
      </c>
      <c r="R171" s="26" t="s">
        <v>513</v>
      </c>
      <c r="S171" s="21">
        <v>730.56610000000001</v>
      </c>
    </row>
    <row r="172" spans="1:19" x14ac:dyDescent="0.25">
      <c r="A172" s="21">
        <v>171</v>
      </c>
      <c r="B172" s="26" t="s">
        <v>41</v>
      </c>
      <c r="C172" s="26" t="s">
        <v>100</v>
      </c>
      <c r="D172" s="26" t="s">
        <v>431</v>
      </c>
      <c r="E172" s="21">
        <v>3443</v>
      </c>
      <c r="F172" s="21">
        <v>1742</v>
      </c>
      <c r="G172" s="21">
        <v>1701</v>
      </c>
      <c r="H172" s="21">
        <v>37.682110000000002</v>
      </c>
      <c r="I172" s="21">
        <v>-4.5523629999999997</v>
      </c>
      <c r="J172" s="21">
        <v>391.4622</v>
      </c>
      <c r="K172" s="21">
        <v>171</v>
      </c>
      <c r="L172" s="21" t="b">
        <f t="shared" si="5"/>
        <v>0</v>
      </c>
      <c r="R172" s="26" t="s">
        <v>666</v>
      </c>
      <c r="S172" s="21">
        <v>594.07309999999995</v>
      </c>
    </row>
    <row r="173" spans="1:19" x14ac:dyDescent="0.25">
      <c r="A173" s="21">
        <v>172</v>
      </c>
      <c r="B173" s="26" t="s">
        <v>41</v>
      </c>
      <c r="C173" s="26" t="s">
        <v>101</v>
      </c>
      <c r="D173" s="26" t="s">
        <v>432</v>
      </c>
      <c r="E173" s="21">
        <v>2508</v>
      </c>
      <c r="F173" s="21">
        <v>1253</v>
      </c>
      <c r="G173" s="21">
        <v>1255</v>
      </c>
      <c r="H173" s="21">
        <v>38.188650000000003</v>
      </c>
      <c r="I173" s="21">
        <v>-5.0182019999999996</v>
      </c>
      <c r="J173" s="21">
        <v>548.57079999999996</v>
      </c>
      <c r="O173" s="21" t="str">
        <f t="shared" ref="O173:O236" si="6">IFERROR(VLOOKUP($O$1,B173:D945,3,FALSE),"")</f>
        <v/>
      </c>
      <c r="R173" s="26" t="s">
        <v>514</v>
      </c>
      <c r="S173" s="21">
        <v>1198.7460000000001</v>
      </c>
    </row>
    <row r="174" spans="1:19" x14ac:dyDescent="0.25">
      <c r="A174" s="21">
        <v>173</v>
      </c>
      <c r="B174" s="26" t="s">
        <v>41</v>
      </c>
      <c r="C174" s="26" t="s">
        <v>103</v>
      </c>
      <c r="D174" s="26" t="s">
        <v>433</v>
      </c>
      <c r="E174" s="21">
        <v>9713</v>
      </c>
      <c r="F174" s="21">
        <v>4865</v>
      </c>
      <c r="G174" s="21">
        <v>4848</v>
      </c>
      <c r="H174" s="21">
        <v>37.672260000000001</v>
      </c>
      <c r="I174" s="21">
        <v>-4.7239940000000002</v>
      </c>
      <c r="J174" s="21">
        <v>310.79250000000002</v>
      </c>
      <c r="O174" s="21" t="str">
        <f t="shared" si="6"/>
        <v/>
      </c>
      <c r="R174" s="26" t="s">
        <v>667</v>
      </c>
      <c r="S174" s="21">
        <v>297.42079999999999</v>
      </c>
    </row>
    <row r="175" spans="1:19" x14ac:dyDescent="0.25">
      <c r="A175" s="21">
        <v>174</v>
      </c>
      <c r="B175" s="26" t="s">
        <v>41</v>
      </c>
      <c r="C175" s="26" t="s">
        <v>104</v>
      </c>
      <c r="D175" s="26" t="s">
        <v>434</v>
      </c>
      <c r="E175" s="21">
        <v>377</v>
      </c>
      <c r="F175" s="21">
        <v>192</v>
      </c>
      <c r="G175" s="21">
        <v>185</v>
      </c>
      <c r="H175" s="21">
        <v>38.42257</v>
      </c>
      <c r="I175" s="21">
        <v>-5.0489059999999997</v>
      </c>
      <c r="J175" s="21">
        <v>559.99540000000002</v>
      </c>
      <c r="O175" s="21" t="str">
        <f t="shared" si="6"/>
        <v/>
      </c>
      <c r="R175" s="26" t="s">
        <v>515</v>
      </c>
      <c r="S175" s="21">
        <v>764.55050000000006</v>
      </c>
    </row>
    <row r="176" spans="1:19" x14ac:dyDescent="0.25">
      <c r="A176" s="21">
        <v>175</v>
      </c>
      <c r="B176" s="26" t="s">
        <v>41</v>
      </c>
      <c r="C176" s="26" t="s">
        <v>102</v>
      </c>
      <c r="D176" s="26" t="s">
        <v>435</v>
      </c>
      <c r="E176" s="21">
        <v>4894</v>
      </c>
      <c r="F176" s="21">
        <v>2506</v>
      </c>
      <c r="G176" s="21">
        <v>2388</v>
      </c>
      <c r="H176" s="21">
        <v>38.266750000000002</v>
      </c>
      <c r="I176" s="21">
        <v>-5.4198339999999998</v>
      </c>
      <c r="J176" s="21">
        <v>622.74980000000005</v>
      </c>
      <c r="O176" s="21" t="str">
        <f t="shared" si="6"/>
        <v/>
      </c>
      <c r="R176" s="26" t="s">
        <v>945</v>
      </c>
      <c r="S176" s="21">
        <v>10.967040000000001</v>
      </c>
    </row>
    <row r="177" spans="1:19" x14ac:dyDescent="0.25">
      <c r="A177" s="21">
        <v>176</v>
      </c>
      <c r="B177" s="26" t="s">
        <v>41</v>
      </c>
      <c r="C177" s="26" t="s">
        <v>105</v>
      </c>
      <c r="D177" s="26" t="s">
        <v>436</v>
      </c>
      <c r="E177" s="21">
        <v>10895</v>
      </c>
      <c r="F177" s="21">
        <v>5473</v>
      </c>
      <c r="G177" s="21">
        <v>5422</v>
      </c>
      <c r="H177" s="21">
        <v>37.703189999999999</v>
      </c>
      <c r="I177" s="21">
        <v>-5.103904</v>
      </c>
      <c r="J177" s="21">
        <v>160.0771</v>
      </c>
      <c r="O177" s="21" t="str">
        <f t="shared" si="6"/>
        <v/>
      </c>
      <c r="R177" s="26" t="s">
        <v>747</v>
      </c>
      <c r="S177" s="21">
        <v>766.17049999999995</v>
      </c>
    </row>
    <row r="178" spans="1:19" x14ac:dyDescent="0.25">
      <c r="A178" s="21">
        <v>177</v>
      </c>
      <c r="B178" s="26" t="s">
        <v>41</v>
      </c>
      <c r="C178" s="26" t="s">
        <v>106</v>
      </c>
      <c r="D178" s="26" t="s">
        <v>437</v>
      </c>
      <c r="E178" s="21">
        <v>721</v>
      </c>
      <c r="F178" s="21">
        <v>345</v>
      </c>
      <c r="G178" s="21">
        <v>376</v>
      </c>
      <c r="H178" s="21">
        <v>37.511629999999997</v>
      </c>
      <c r="I178" s="21">
        <v>-4.1480189999999997</v>
      </c>
      <c r="J178" s="21">
        <v>589.32119999999998</v>
      </c>
      <c r="O178" s="21" t="str">
        <f t="shared" si="6"/>
        <v/>
      </c>
      <c r="R178" s="26" t="s">
        <v>946</v>
      </c>
      <c r="S178" s="21">
        <v>138.4237</v>
      </c>
    </row>
    <row r="179" spans="1:19" x14ac:dyDescent="0.25">
      <c r="A179" s="21">
        <v>178</v>
      </c>
      <c r="B179" s="26" t="s">
        <v>41</v>
      </c>
      <c r="C179" s="26" t="s">
        <v>107</v>
      </c>
      <c r="D179" s="26" t="s">
        <v>438</v>
      </c>
      <c r="E179" s="21">
        <v>482</v>
      </c>
      <c r="F179" s="21">
        <v>247</v>
      </c>
      <c r="G179" s="21">
        <v>235</v>
      </c>
      <c r="H179" s="21">
        <v>38.371099999999998</v>
      </c>
      <c r="I179" s="21">
        <v>-5.3514359999999996</v>
      </c>
      <c r="J179" s="21">
        <v>554.32140000000004</v>
      </c>
      <c r="O179" s="21" t="str">
        <f t="shared" si="6"/>
        <v/>
      </c>
      <c r="R179" s="26" t="s">
        <v>748</v>
      </c>
      <c r="S179" s="21">
        <v>873.84439999999995</v>
      </c>
    </row>
    <row r="180" spans="1:19" x14ac:dyDescent="0.25">
      <c r="A180" s="21">
        <v>179</v>
      </c>
      <c r="B180" s="26" t="s">
        <v>41</v>
      </c>
      <c r="C180" s="26" t="s">
        <v>108</v>
      </c>
      <c r="D180" s="26" t="s">
        <v>439</v>
      </c>
      <c r="E180" s="21">
        <v>1566</v>
      </c>
      <c r="F180" s="21">
        <v>777</v>
      </c>
      <c r="G180" s="21">
        <v>789</v>
      </c>
      <c r="H180" s="21">
        <v>37.757550000000002</v>
      </c>
      <c r="I180" s="21">
        <v>-4.9446300000000001</v>
      </c>
      <c r="J180" s="21">
        <v>161.6661</v>
      </c>
      <c r="O180" s="21" t="str">
        <f t="shared" si="6"/>
        <v/>
      </c>
      <c r="R180" s="26" t="s">
        <v>668</v>
      </c>
      <c r="S180" s="21">
        <v>434.68119999999999</v>
      </c>
    </row>
    <row r="181" spans="1:19" x14ac:dyDescent="0.25">
      <c r="A181" s="21">
        <v>180</v>
      </c>
      <c r="B181" s="26" t="s">
        <v>41</v>
      </c>
      <c r="C181" s="26" t="s">
        <v>109</v>
      </c>
      <c r="D181" s="26" t="s">
        <v>440</v>
      </c>
      <c r="E181" s="21">
        <v>372</v>
      </c>
      <c r="F181" s="21">
        <v>195</v>
      </c>
      <c r="G181" s="21">
        <v>177</v>
      </c>
      <c r="H181" s="21">
        <v>38.496290000000002</v>
      </c>
      <c r="I181" s="21">
        <v>-4.7827159999999997</v>
      </c>
      <c r="J181" s="21">
        <v>565.62350000000004</v>
      </c>
      <c r="O181" s="21" t="str">
        <f t="shared" si="6"/>
        <v/>
      </c>
      <c r="R181" s="26" t="s">
        <v>856</v>
      </c>
      <c r="S181" s="21">
        <v>458.54590000000002</v>
      </c>
    </row>
    <row r="182" spans="1:19" x14ac:dyDescent="0.25">
      <c r="A182" s="21">
        <v>181</v>
      </c>
      <c r="B182" s="26" t="s">
        <v>41</v>
      </c>
      <c r="C182" s="26" t="s">
        <v>110</v>
      </c>
      <c r="D182" s="26" t="s">
        <v>441</v>
      </c>
      <c r="E182" s="21">
        <v>7054</v>
      </c>
      <c r="F182" s="21">
        <v>3442</v>
      </c>
      <c r="G182" s="21">
        <v>3612</v>
      </c>
      <c r="H182" s="21">
        <v>38.500990000000002</v>
      </c>
      <c r="I182" s="21">
        <v>-5.148333</v>
      </c>
      <c r="J182" s="21">
        <v>551.71299999999997</v>
      </c>
      <c r="O182" s="21" t="str">
        <f t="shared" si="6"/>
        <v/>
      </c>
      <c r="R182" s="26" t="s">
        <v>669</v>
      </c>
      <c r="S182" s="21">
        <v>518.697</v>
      </c>
    </row>
    <row r="183" spans="1:19" x14ac:dyDescent="0.25">
      <c r="A183" s="21">
        <v>182</v>
      </c>
      <c r="B183" s="26" t="s">
        <v>41</v>
      </c>
      <c r="C183" s="26" t="s">
        <v>111</v>
      </c>
      <c r="D183" s="26" t="s">
        <v>442</v>
      </c>
      <c r="E183" s="21">
        <v>4642</v>
      </c>
      <c r="F183" s="21">
        <v>2340</v>
      </c>
      <c r="G183" s="21">
        <v>2302</v>
      </c>
      <c r="H183" s="21">
        <v>37.830840000000002</v>
      </c>
      <c r="I183" s="21">
        <v>-5.2429839999999999</v>
      </c>
      <c r="J183" s="21">
        <v>177.45509999999999</v>
      </c>
      <c r="O183" s="21" t="str">
        <f t="shared" si="6"/>
        <v/>
      </c>
      <c r="R183" s="26" t="s">
        <v>516</v>
      </c>
      <c r="S183" s="21">
        <v>925.54190000000006</v>
      </c>
    </row>
    <row r="184" spans="1:19" x14ac:dyDescent="0.25">
      <c r="A184" s="21">
        <v>183</v>
      </c>
      <c r="B184" s="26" t="s">
        <v>41</v>
      </c>
      <c r="C184" s="26" t="s">
        <v>112</v>
      </c>
      <c r="D184" s="26" t="s">
        <v>443</v>
      </c>
      <c r="E184" s="21">
        <v>4556</v>
      </c>
      <c r="F184" s="21">
        <v>2285</v>
      </c>
      <c r="G184" s="21">
        <v>2271</v>
      </c>
      <c r="H184" s="21">
        <v>37.257260000000002</v>
      </c>
      <c r="I184" s="21">
        <v>-4.3084230000000003</v>
      </c>
      <c r="J184" s="21">
        <v>519.90570000000002</v>
      </c>
      <c r="O184" s="21" t="str">
        <f t="shared" si="6"/>
        <v/>
      </c>
      <c r="R184" s="26" t="s">
        <v>749</v>
      </c>
      <c r="S184" s="21">
        <v>522.58069999999998</v>
      </c>
    </row>
    <row r="185" spans="1:19" x14ac:dyDescent="0.25">
      <c r="A185" s="21">
        <v>184</v>
      </c>
      <c r="B185" s="26" t="s">
        <v>41</v>
      </c>
      <c r="C185" s="26" t="s">
        <v>113</v>
      </c>
      <c r="D185" s="26" t="s">
        <v>444</v>
      </c>
      <c r="E185" s="21">
        <v>42697</v>
      </c>
      <c r="F185" s="21">
        <v>21298</v>
      </c>
      <c r="G185" s="21">
        <v>21399</v>
      </c>
      <c r="H185" s="21">
        <v>37.408729999999998</v>
      </c>
      <c r="I185" s="21">
        <v>-4.4855980000000004</v>
      </c>
      <c r="J185" s="21">
        <v>494.17649999999998</v>
      </c>
      <c r="O185" s="21" t="str">
        <f t="shared" si="6"/>
        <v/>
      </c>
      <c r="R185" s="26" t="s">
        <v>517</v>
      </c>
      <c r="S185" s="21">
        <v>914.91909999999996</v>
      </c>
    </row>
    <row r="186" spans="1:19" x14ac:dyDescent="0.25">
      <c r="A186" s="21">
        <v>185</v>
      </c>
      <c r="B186" s="26" t="s">
        <v>41</v>
      </c>
      <c r="C186" s="26" t="s">
        <v>114</v>
      </c>
      <c r="D186" s="26" t="s">
        <v>445</v>
      </c>
      <c r="E186" s="21">
        <v>3127</v>
      </c>
      <c r="F186" s="21">
        <v>1568</v>
      </c>
      <c r="G186" s="21">
        <v>1559</v>
      </c>
      <c r="H186" s="21">
        <v>37.55932</v>
      </c>
      <c r="I186" s="21">
        <v>-4.2765230000000001</v>
      </c>
      <c r="J186" s="21">
        <v>662.4076</v>
      </c>
      <c r="O186" s="21" t="str">
        <f t="shared" si="6"/>
        <v/>
      </c>
      <c r="R186" s="26" t="s">
        <v>857</v>
      </c>
      <c r="S186" s="21">
        <v>653.66409999999996</v>
      </c>
    </row>
    <row r="187" spans="1:19" x14ac:dyDescent="0.25">
      <c r="A187" s="21">
        <v>186</v>
      </c>
      <c r="B187" s="26" t="s">
        <v>41</v>
      </c>
      <c r="C187" s="26" t="s">
        <v>115</v>
      </c>
      <c r="D187" s="26" t="s">
        <v>446</v>
      </c>
      <c r="E187" s="21">
        <v>4519</v>
      </c>
      <c r="F187" s="21">
        <v>2266</v>
      </c>
      <c r="G187" s="21">
        <v>2253</v>
      </c>
      <c r="H187" s="21">
        <v>37.582920000000001</v>
      </c>
      <c r="I187" s="21">
        <v>-4.7496989999999997</v>
      </c>
      <c r="J187" s="21">
        <v>277.85629999999998</v>
      </c>
      <c r="O187" s="21" t="str">
        <f t="shared" si="6"/>
        <v/>
      </c>
      <c r="R187" s="26" t="s">
        <v>858</v>
      </c>
      <c r="S187" s="21">
        <v>579.26170000000002</v>
      </c>
    </row>
    <row r="188" spans="1:19" x14ac:dyDescent="0.25">
      <c r="A188" s="21">
        <v>187</v>
      </c>
      <c r="B188" s="26" t="s">
        <v>41</v>
      </c>
      <c r="C188" s="26" t="s">
        <v>116</v>
      </c>
      <c r="D188" s="26" t="s">
        <v>447</v>
      </c>
      <c r="E188" s="21">
        <v>3950</v>
      </c>
      <c r="F188" s="21">
        <v>1978</v>
      </c>
      <c r="G188" s="21">
        <v>1972</v>
      </c>
      <c r="H188" s="21">
        <v>37.648620000000001</v>
      </c>
      <c r="I188" s="21">
        <v>-4.6988890000000003</v>
      </c>
      <c r="J188" s="21">
        <v>386.18700000000001</v>
      </c>
      <c r="O188" s="21" t="str">
        <f t="shared" si="6"/>
        <v/>
      </c>
      <c r="R188" s="26" t="s">
        <v>234</v>
      </c>
      <c r="S188" s="21">
        <v>607.97450000000003</v>
      </c>
    </row>
    <row r="189" spans="1:19" x14ac:dyDescent="0.25">
      <c r="A189" s="21">
        <v>188</v>
      </c>
      <c r="B189" s="26" t="s">
        <v>41</v>
      </c>
      <c r="C189" s="26" t="s">
        <v>117</v>
      </c>
      <c r="D189" s="26" t="s">
        <v>448</v>
      </c>
      <c r="E189" s="21">
        <v>23519</v>
      </c>
      <c r="F189" s="21">
        <v>11639</v>
      </c>
      <c r="G189" s="21">
        <v>11880</v>
      </c>
      <c r="H189" s="21">
        <v>37.58963</v>
      </c>
      <c r="I189" s="21">
        <v>-4.6383130000000001</v>
      </c>
      <c r="J189" s="21">
        <v>385.77910000000003</v>
      </c>
      <c r="O189" s="21" t="str">
        <f t="shared" si="6"/>
        <v/>
      </c>
      <c r="R189" s="26" t="s">
        <v>947</v>
      </c>
      <c r="S189" s="21">
        <v>31.12143</v>
      </c>
    </row>
    <row r="190" spans="1:19" x14ac:dyDescent="0.25">
      <c r="A190" s="21">
        <v>189</v>
      </c>
      <c r="B190" s="26" t="s">
        <v>41</v>
      </c>
      <c r="C190" s="26" t="s">
        <v>118</v>
      </c>
      <c r="D190" s="26" t="s">
        <v>449</v>
      </c>
      <c r="E190" s="21">
        <v>9640</v>
      </c>
      <c r="F190" s="21">
        <v>4733</v>
      </c>
      <c r="G190" s="21">
        <v>4907</v>
      </c>
      <c r="H190" s="21">
        <v>38.02617</v>
      </c>
      <c r="I190" s="21">
        <v>-4.3818739999999998</v>
      </c>
      <c r="J190" s="21">
        <v>201.32900000000001</v>
      </c>
      <c r="O190" s="21" t="str">
        <f t="shared" si="6"/>
        <v/>
      </c>
      <c r="R190" s="26" t="s">
        <v>235</v>
      </c>
      <c r="S190" s="21">
        <v>388.65530000000001</v>
      </c>
    </row>
    <row r="191" spans="1:19" x14ac:dyDescent="0.25">
      <c r="A191" s="21">
        <v>190</v>
      </c>
      <c r="B191" s="26" t="s">
        <v>41</v>
      </c>
      <c r="C191" s="26" t="s">
        <v>119</v>
      </c>
      <c r="D191" s="26" t="s">
        <v>450</v>
      </c>
      <c r="E191" s="21">
        <v>2007</v>
      </c>
      <c r="F191" s="21">
        <v>997</v>
      </c>
      <c r="G191" s="21">
        <v>1010</v>
      </c>
      <c r="H191" s="21">
        <v>37.473320000000001</v>
      </c>
      <c r="I191" s="21">
        <v>-4.5817129999999997</v>
      </c>
      <c r="J191" s="21">
        <v>376.99950000000001</v>
      </c>
      <c r="O191" s="21" t="str">
        <f t="shared" si="6"/>
        <v/>
      </c>
      <c r="R191" s="26" t="s">
        <v>948</v>
      </c>
      <c r="S191" s="21">
        <v>157.57480000000001</v>
      </c>
    </row>
    <row r="192" spans="1:19" x14ac:dyDescent="0.25">
      <c r="A192" s="21">
        <v>191</v>
      </c>
      <c r="B192" s="26" t="s">
        <v>41</v>
      </c>
      <c r="C192" s="26" t="s">
        <v>120</v>
      </c>
      <c r="D192" s="26" t="s">
        <v>451</v>
      </c>
      <c r="E192" s="21">
        <v>3848</v>
      </c>
      <c r="F192" s="21">
        <v>1923</v>
      </c>
      <c r="G192" s="21">
        <v>1925</v>
      </c>
      <c r="H192" s="21">
        <v>37.43526</v>
      </c>
      <c r="I192" s="21">
        <v>-4.6087670000000003</v>
      </c>
      <c r="J192" s="21">
        <v>379.15010000000001</v>
      </c>
      <c r="O192" s="21" t="str">
        <f t="shared" si="6"/>
        <v/>
      </c>
      <c r="R192" s="26" t="s">
        <v>518</v>
      </c>
      <c r="S192" s="21">
        <v>1026.3969999999999</v>
      </c>
    </row>
    <row r="193" spans="1:19" x14ac:dyDescent="0.25">
      <c r="A193" s="21">
        <v>192</v>
      </c>
      <c r="B193" s="26" t="s">
        <v>41</v>
      </c>
      <c r="C193" s="26" t="s">
        <v>121</v>
      </c>
      <c r="D193" s="26" t="s">
        <v>452</v>
      </c>
      <c r="E193" s="21">
        <v>5470</v>
      </c>
      <c r="F193" s="21">
        <v>2769</v>
      </c>
      <c r="G193" s="21">
        <v>2701</v>
      </c>
      <c r="H193" s="21">
        <v>37.585659999999997</v>
      </c>
      <c r="I193" s="21">
        <v>-4.4672910000000003</v>
      </c>
      <c r="J193" s="21">
        <v>444.76569999999998</v>
      </c>
      <c r="O193" s="21" t="str">
        <f t="shared" si="6"/>
        <v/>
      </c>
      <c r="R193" s="26" t="s">
        <v>670</v>
      </c>
      <c r="S193" s="21">
        <v>545.9366</v>
      </c>
    </row>
    <row r="194" spans="1:19" x14ac:dyDescent="0.25">
      <c r="A194" s="21">
        <v>193</v>
      </c>
      <c r="B194" s="26" t="s">
        <v>41</v>
      </c>
      <c r="C194" s="26" t="s">
        <v>122</v>
      </c>
      <c r="D194" s="26" t="s">
        <v>453</v>
      </c>
      <c r="E194" s="21">
        <v>2027</v>
      </c>
      <c r="F194" s="21">
        <v>1041</v>
      </c>
      <c r="G194" s="21">
        <v>986</v>
      </c>
      <c r="H194" s="21">
        <v>38.134329999999999</v>
      </c>
      <c r="I194" s="21">
        <v>-4.8005060000000004</v>
      </c>
      <c r="J194" s="21">
        <v>692.86609999999996</v>
      </c>
      <c r="O194" s="21" t="str">
        <f t="shared" si="6"/>
        <v/>
      </c>
      <c r="R194" s="26" t="s">
        <v>421</v>
      </c>
      <c r="S194" s="21">
        <v>320.61169999999998</v>
      </c>
    </row>
    <row r="195" spans="1:19" x14ac:dyDescent="0.25">
      <c r="A195" s="21">
        <v>194</v>
      </c>
      <c r="B195" s="26" t="s">
        <v>41</v>
      </c>
      <c r="C195" s="26" t="s">
        <v>123</v>
      </c>
      <c r="D195" s="26" t="s">
        <v>454</v>
      </c>
      <c r="E195" s="21">
        <v>1545</v>
      </c>
      <c r="F195" s="21">
        <v>778</v>
      </c>
      <c r="G195" s="21">
        <v>767</v>
      </c>
      <c r="H195" s="21">
        <v>37.249200000000002</v>
      </c>
      <c r="I195" s="21">
        <v>-4.5836509999999997</v>
      </c>
      <c r="J195" s="21">
        <v>396.52080000000001</v>
      </c>
      <c r="O195" s="21" t="str">
        <f t="shared" si="6"/>
        <v/>
      </c>
      <c r="R195" s="26" t="s">
        <v>859</v>
      </c>
      <c r="S195" s="21">
        <v>750.48059999999998</v>
      </c>
    </row>
    <row r="196" spans="1:19" x14ac:dyDescent="0.25">
      <c r="A196" s="21">
        <v>195</v>
      </c>
      <c r="B196" s="26" t="s">
        <v>41</v>
      </c>
      <c r="C196" s="26" t="s">
        <v>124</v>
      </c>
      <c r="D196" s="26" t="s">
        <v>455</v>
      </c>
      <c r="E196" s="21">
        <v>21522</v>
      </c>
      <c r="F196" s="21">
        <v>10742</v>
      </c>
      <c r="G196" s="21">
        <v>10780</v>
      </c>
      <c r="H196" s="21">
        <v>37.701630000000002</v>
      </c>
      <c r="I196" s="21">
        <v>-5.2837670000000001</v>
      </c>
      <c r="J196" s="21">
        <v>60.91507</v>
      </c>
      <c r="O196" s="21" t="str">
        <f t="shared" si="6"/>
        <v/>
      </c>
      <c r="R196" s="26" t="s">
        <v>519</v>
      </c>
      <c r="S196" s="21">
        <v>1444.893</v>
      </c>
    </row>
    <row r="197" spans="1:19" x14ac:dyDescent="0.25">
      <c r="A197" s="21">
        <v>196</v>
      </c>
      <c r="B197" s="26" t="s">
        <v>41</v>
      </c>
      <c r="C197" s="26" t="s">
        <v>125</v>
      </c>
      <c r="D197" s="26" t="s">
        <v>456</v>
      </c>
      <c r="E197" s="21">
        <v>2927</v>
      </c>
      <c r="F197" s="21">
        <v>1474</v>
      </c>
      <c r="G197" s="21">
        <v>1453</v>
      </c>
      <c r="H197" s="21">
        <v>37.967080000000003</v>
      </c>
      <c r="I197" s="21">
        <v>-4.4572260000000004</v>
      </c>
      <c r="J197" s="21">
        <v>163.2774</v>
      </c>
      <c r="O197" s="21" t="str">
        <f t="shared" si="6"/>
        <v/>
      </c>
      <c r="R197" s="26" t="s">
        <v>520</v>
      </c>
      <c r="S197" s="21">
        <v>761.68640000000005</v>
      </c>
    </row>
    <row r="198" spans="1:19" x14ac:dyDescent="0.25">
      <c r="A198" s="21">
        <v>197</v>
      </c>
      <c r="B198" s="26" t="s">
        <v>41</v>
      </c>
      <c r="C198" s="26" t="s">
        <v>126</v>
      </c>
      <c r="D198" s="26" t="s">
        <v>457</v>
      </c>
      <c r="E198" s="21">
        <v>1624</v>
      </c>
      <c r="F198" s="21">
        <v>785</v>
      </c>
      <c r="G198" s="21">
        <v>839</v>
      </c>
      <c r="H198" s="21">
        <v>38.428730000000002</v>
      </c>
      <c r="I198" s="21">
        <v>-4.7634379999999998</v>
      </c>
      <c r="J198" s="21">
        <v>623.12530000000004</v>
      </c>
      <c r="O198" s="21" t="str">
        <f t="shared" si="6"/>
        <v/>
      </c>
      <c r="R198" s="26" t="s">
        <v>236</v>
      </c>
      <c r="S198" s="21">
        <v>6.721787</v>
      </c>
    </row>
    <row r="199" spans="1:19" x14ac:dyDescent="0.25">
      <c r="A199" s="21">
        <v>198</v>
      </c>
      <c r="B199" s="26" t="s">
        <v>41</v>
      </c>
      <c r="C199" s="26" t="s">
        <v>127</v>
      </c>
      <c r="D199" s="26" t="s">
        <v>458</v>
      </c>
      <c r="E199" s="21">
        <v>11300</v>
      </c>
      <c r="F199" s="21">
        <v>5467</v>
      </c>
      <c r="G199" s="21">
        <v>5833</v>
      </c>
      <c r="H199" s="21">
        <v>38.303040000000003</v>
      </c>
      <c r="I199" s="21">
        <v>-5.2728510000000002</v>
      </c>
      <c r="J199" s="21">
        <v>541.6902</v>
      </c>
      <c r="O199" s="21" t="str">
        <f t="shared" si="6"/>
        <v/>
      </c>
      <c r="R199" s="26" t="s">
        <v>750</v>
      </c>
      <c r="S199" s="21">
        <v>403.3349</v>
      </c>
    </row>
    <row r="200" spans="1:19" x14ac:dyDescent="0.25">
      <c r="A200" s="21">
        <v>199</v>
      </c>
      <c r="B200" s="26" t="s">
        <v>41</v>
      </c>
      <c r="C200" s="26" t="s">
        <v>128</v>
      </c>
      <c r="D200" s="26" t="s">
        <v>459</v>
      </c>
      <c r="E200" s="21">
        <v>7544</v>
      </c>
      <c r="F200" s="21">
        <v>3769</v>
      </c>
      <c r="G200" s="21">
        <v>3775</v>
      </c>
      <c r="H200" s="21">
        <v>37.800409999999999</v>
      </c>
      <c r="I200" s="21">
        <v>-5.1070380000000002</v>
      </c>
      <c r="J200" s="21">
        <v>88.414339999999996</v>
      </c>
      <c r="O200" s="21" t="str">
        <f t="shared" si="6"/>
        <v/>
      </c>
      <c r="R200" s="26" t="s">
        <v>422</v>
      </c>
      <c r="S200" s="21">
        <v>628.28570000000002</v>
      </c>
    </row>
    <row r="201" spans="1:19" x14ac:dyDescent="0.25">
      <c r="A201" s="21">
        <v>200</v>
      </c>
      <c r="B201" s="26" t="s">
        <v>41</v>
      </c>
      <c r="C201" s="26" t="s">
        <v>129</v>
      </c>
      <c r="D201" s="26" t="s">
        <v>460</v>
      </c>
      <c r="E201" s="21">
        <v>17380</v>
      </c>
      <c r="F201" s="21">
        <v>8496</v>
      </c>
      <c r="G201" s="21">
        <v>8884</v>
      </c>
      <c r="H201" s="21">
        <v>38.377420000000001</v>
      </c>
      <c r="I201" s="21">
        <v>-4.848376</v>
      </c>
      <c r="J201" s="21">
        <v>652.37840000000006</v>
      </c>
      <c r="O201" s="21" t="str">
        <f t="shared" si="6"/>
        <v/>
      </c>
      <c r="R201" s="26" t="s">
        <v>751</v>
      </c>
      <c r="S201" s="21">
        <v>797.90110000000004</v>
      </c>
    </row>
    <row r="202" spans="1:19" x14ac:dyDescent="0.25">
      <c r="A202" s="21">
        <v>201</v>
      </c>
      <c r="B202" s="26" t="s">
        <v>41</v>
      </c>
      <c r="C202" s="26" t="s">
        <v>130</v>
      </c>
      <c r="D202" s="26" t="s">
        <v>461</v>
      </c>
      <c r="E202" s="21">
        <v>22936</v>
      </c>
      <c r="F202" s="21">
        <v>11222</v>
      </c>
      <c r="G202" s="21">
        <v>11714</v>
      </c>
      <c r="H202" s="21">
        <v>37.438899999999997</v>
      </c>
      <c r="I202" s="21">
        <v>-4.194839</v>
      </c>
      <c r="J202" s="21">
        <v>657.66089999999997</v>
      </c>
      <c r="O202" s="21" t="str">
        <f t="shared" si="6"/>
        <v/>
      </c>
      <c r="R202" s="26" t="s">
        <v>423</v>
      </c>
      <c r="S202" s="21">
        <v>747.52340000000004</v>
      </c>
    </row>
    <row r="203" spans="1:19" x14ac:dyDescent="0.25">
      <c r="A203" s="21">
        <v>202</v>
      </c>
      <c r="B203" s="26" t="s">
        <v>41</v>
      </c>
      <c r="C203" s="26" t="s">
        <v>131</v>
      </c>
      <c r="D203" s="26" t="s">
        <v>462</v>
      </c>
      <c r="E203" s="21">
        <v>30167</v>
      </c>
      <c r="F203" s="21">
        <v>15022</v>
      </c>
      <c r="G203" s="21">
        <v>15145</v>
      </c>
      <c r="H203" s="21">
        <v>37.390509999999999</v>
      </c>
      <c r="I203" s="21">
        <v>-4.7704649999999997</v>
      </c>
      <c r="J203" s="21">
        <v>219.07149999999999</v>
      </c>
      <c r="O203" s="21" t="str">
        <f t="shared" si="6"/>
        <v/>
      </c>
      <c r="R203" s="26" t="s">
        <v>424</v>
      </c>
      <c r="S203" s="21">
        <v>215.45660000000001</v>
      </c>
    </row>
    <row r="204" spans="1:19" x14ac:dyDescent="0.25">
      <c r="A204" s="21">
        <v>203</v>
      </c>
      <c r="B204" s="26" t="s">
        <v>41</v>
      </c>
      <c r="C204" s="26" t="s">
        <v>132</v>
      </c>
      <c r="D204" s="26" t="s">
        <v>463</v>
      </c>
      <c r="E204" s="21">
        <v>7547</v>
      </c>
      <c r="F204" s="21">
        <v>3785</v>
      </c>
      <c r="G204" s="21">
        <v>3762</v>
      </c>
      <c r="H204" s="21">
        <v>37.608159999999998</v>
      </c>
      <c r="I204" s="21">
        <v>-4.7413189999999998</v>
      </c>
      <c r="J204" s="21">
        <v>331.65050000000002</v>
      </c>
      <c r="O204" s="21" t="str">
        <f t="shared" si="6"/>
        <v/>
      </c>
      <c r="R204" s="26" t="s">
        <v>949</v>
      </c>
      <c r="S204" s="21">
        <v>217.98070000000001</v>
      </c>
    </row>
    <row r="205" spans="1:19" x14ac:dyDescent="0.25">
      <c r="A205" s="21">
        <v>204</v>
      </c>
      <c r="B205" s="26" t="s">
        <v>41</v>
      </c>
      <c r="C205" s="26" t="s">
        <v>133</v>
      </c>
      <c r="D205" s="26" t="s">
        <v>464</v>
      </c>
      <c r="E205" s="21">
        <v>10269</v>
      </c>
      <c r="F205" s="21">
        <v>5116</v>
      </c>
      <c r="G205" s="21">
        <v>5153</v>
      </c>
      <c r="H205" s="21">
        <v>37.325870000000002</v>
      </c>
      <c r="I205" s="21">
        <v>-4.3713009999999999</v>
      </c>
      <c r="J205" s="21">
        <v>632.53859999999997</v>
      </c>
      <c r="O205" s="21" t="str">
        <f t="shared" si="6"/>
        <v/>
      </c>
      <c r="R205" s="26" t="s">
        <v>752</v>
      </c>
      <c r="S205" s="21">
        <v>598.452</v>
      </c>
    </row>
    <row r="206" spans="1:19" x14ac:dyDescent="0.25">
      <c r="A206" s="21">
        <v>205</v>
      </c>
      <c r="B206" s="26" t="s">
        <v>41</v>
      </c>
      <c r="C206" s="26" t="s">
        <v>135</v>
      </c>
      <c r="D206" s="26" t="s">
        <v>465</v>
      </c>
      <c r="E206" s="21">
        <v>816</v>
      </c>
      <c r="F206" s="21">
        <v>412</v>
      </c>
      <c r="G206" s="21">
        <v>404</v>
      </c>
      <c r="H206" s="21">
        <v>37.65493</v>
      </c>
      <c r="I206" s="21">
        <v>-4.8241569999999996</v>
      </c>
      <c r="J206" s="21">
        <v>306.45530000000002</v>
      </c>
      <c r="O206" s="21" t="str">
        <f t="shared" si="6"/>
        <v/>
      </c>
      <c r="R206" s="26" t="s">
        <v>425</v>
      </c>
      <c r="S206" s="21">
        <v>180.5471</v>
      </c>
    </row>
    <row r="207" spans="1:19" x14ac:dyDescent="0.25">
      <c r="A207" s="21">
        <v>206</v>
      </c>
      <c r="B207" s="26" t="s">
        <v>41</v>
      </c>
      <c r="C207" s="26" t="s">
        <v>136</v>
      </c>
      <c r="D207" s="26" t="s">
        <v>466</v>
      </c>
      <c r="E207" s="21">
        <v>859</v>
      </c>
      <c r="F207" s="21">
        <v>433</v>
      </c>
      <c r="G207" s="21">
        <v>426</v>
      </c>
      <c r="H207" s="21">
        <v>38.595440000000004</v>
      </c>
      <c r="I207" s="21">
        <v>-4.9027649999999996</v>
      </c>
      <c r="J207" s="21">
        <v>547.03129999999999</v>
      </c>
      <c r="O207" s="21" t="str">
        <f t="shared" si="6"/>
        <v/>
      </c>
      <c r="R207" s="26" t="s">
        <v>860</v>
      </c>
      <c r="S207" s="21">
        <v>527.61239999999998</v>
      </c>
    </row>
    <row r="208" spans="1:19" x14ac:dyDescent="0.25">
      <c r="A208" s="21">
        <v>207</v>
      </c>
      <c r="B208" s="26" t="s">
        <v>41</v>
      </c>
      <c r="C208" s="26" t="s">
        <v>134</v>
      </c>
      <c r="D208" s="26" t="s">
        <v>467</v>
      </c>
      <c r="E208" s="21">
        <v>6062</v>
      </c>
      <c r="F208" s="21">
        <v>3061</v>
      </c>
      <c r="G208" s="21">
        <v>3001</v>
      </c>
      <c r="H208" s="21">
        <v>37.566270000000003</v>
      </c>
      <c r="I208" s="21">
        <v>-4.8450939999999996</v>
      </c>
      <c r="J208" s="21">
        <v>238.2158</v>
      </c>
      <c r="O208" s="21" t="str">
        <f t="shared" si="6"/>
        <v/>
      </c>
      <c r="R208" s="26" t="s">
        <v>950</v>
      </c>
      <c r="S208" s="21">
        <v>101.1786</v>
      </c>
    </row>
    <row r="209" spans="1:19" x14ac:dyDescent="0.25">
      <c r="A209" s="21">
        <v>208</v>
      </c>
      <c r="B209" s="26" t="s">
        <v>41</v>
      </c>
      <c r="C209" s="26" t="s">
        <v>137</v>
      </c>
      <c r="D209" s="26" t="s">
        <v>468</v>
      </c>
      <c r="E209" s="21">
        <v>1177</v>
      </c>
      <c r="F209" s="21">
        <v>581</v>
      </c>
      <c r="G209" s="21">
        <v>596</v>
      </c>
      <c r="H209" s="21">
        <v>38.475099999999998</v>
      </c>
      <c r="I209" s="21">
        <v>-4.6794560000000001</v>
      </c>
      <c r="J209" s="21">
        <v>576.42570000000001</v>
      </c>
      <c r="O209" s="21" t="str">
        <f t="shared" si="6"/>
        <v/>
      </c>
      <c r="R209" s="26" t="s">
        <v>861</v>
      </c>
      <c r="S209" s="21">
        <v>835.13369999999998</v>
      </c>
    </row>
    <row r="210" spans="1:19" x14ac:dyDescent="0.25">
      <c r="A210" s="21">
        <v>209</v>
      </c>
      <c r="B210" s="26" t="s">
        <v>41</v>
      </c>
      <c r="C210" s="26" t="s">
        <v>139</v>
      </c>
      <c r="D210" s="26" t="s">
        <v>469</v>
      </c>
      <c r="E210" s="21">
        <v>1241</v>
      </c>
      <c r="F210" s="21">
        <v>607</v>
      </c>
      <c r="G210" s="21">
        <v>634</v>
      </c>
      <c r="H210" s="21">
        <v>37.775080000000003</v>
      </c>
      <c r="I210" s="21">
        <v>-4.2198409999999997</v>
      </c>
      <c r="J210" s="21">
        <v>341.02330000000001</v>
      </c>
      <c r="O210" s="21" t="str">
        <f t="shared" si="6"/>
        <v/>
      </c>
      <c r="R210" s="26" t="s">
        <v>862</v>
      </c>
      <c r="S210" s="21">
        <v>103.49299999999999</v>
      </c>
    </row>
    <row r="211" spans="1:19" x14ac:dyDescent="0.25">
      <c r="A211" s="21">
        <v>210</v>
      </c>
      <c r="B211" s="26" t="s">
        <v>41</v>
      </c>
      <c r="C211" s="26" t="s">
        <v>140</v>
      </c>
      <c r="D211" s="26" t="s">
        <v>470</v>
      </c>
      <c r="E211" s="21">
        <v>379</v>
      </c>
      <c r="F211" s="21">
        <v>186</v>
      </c>
      <c r="G211" s="21">
        <v>193</v>
      </c>
      <c r="H211" s="21">
        <v>38.404980000000002</v>
      </c>
      <c r="I211" s="21">
        <v>-5.35168</v>
      </c>
      <c r="J211" s="21">
        <v>578.04660000000001</v>
      </c>
      <c r="O211" s="21" t="str">
        <f t="shared" si="6"/>
        <v/>
      </c>
      <c r="R211" s="26" t="s">
        <v>671</v>
      </c>
      <c r="S211" s="21">
        <v>24.174160000000001</v>
      </c>
    </row>
    <row r="212" spans="1:19" x14ac:dyDescent="0.25">
      <c r="A212" s="21">
        <v>211</v>
      </c>
      <c r="B212" s="26" t="s">
        <v>41</v>
      </c>
      <c r="C212" s="26" t="s">
        <v>141</v>
      </c>
      <c r="D212" s="26" t="s">
        <v>471</v>
      </c>
      <c r="E212" s="21">
        <v>2375</v>
      </c>
      <c r="F212" s="21">
        <v>1184</v>
      </c>
      <c r="G212" s="21">
        <v>1191</v>
      </c>
      <c r="H212" s="21">
        <v>37.883270000000003</v>
      </c>
      <c r="I212" s="21">
        <v>-4.7849589999999997</v>
      </c>
      <c r="J212" s="21">
        <v>122.8182</v>
      </c>
      <c r="O212" s="21" t="str">
        <f t="shared" si="6"/>
        <v/>
      </c>
      <c r="R212" s="26" t="s">
        <v>863</v>
      </c>
      <c r="S212" s="21">
        <v>543.28390000000002</v>
      </c>
    </row>
    <row r="213" spans="1:19" x14ac:dyDescent="0.25">
      <c r="A213" s="21">
        <v>212</v>
      </c>
      <c r="B213" s="26" t="s">
        <v>41</v>
      </c>
      <c r="C213" s="26" t="s">
        <v>142</v>
      </c>
      <c r="D213" s="26" t="s">
        <v>472</v>
      </c>
      <c r="E213" s="21">
        <v>7403</v>
      </c>
      <c r="F213" s="21">
        <v>3702</v>
      </c>
      <c r="G213" s="21">
        <v>3701</v>
      </c>
      <c r="H213" s="21">
        <v>37.98227</v>
      </c>
      <c r="I213" s="21">
        <v>-4.2908780000000002</v>
      </c>
      <c r="J213" s="21">
        <v>164.00460000000001</v>
      </c>
      <c r="O213" s="21" t="str">
        <f t="shared" si="6"/>
        <v/>
      </c>
      <c r="R213" s="26" t="s">
        <v>864</v>
      </c>
      <c r="S213" s="21">
        <v>469.90980000000002</v>
      </c>
    </row>
    <row r="214" spans="1:19" x14ac:dyDescent="0.25">
      <c r="A214" s="21">
        <v>213</v>
      </c>
      <c r="B214" s="26" t="s">
        <v>41</v>
      </c>
      <c r="C214" s="26" t="s">
        <v>143</v>
      </c>
      <c r="D214" s="26" t="s">
        <v>473</v>
      </c>
      <c r="E214" s="21">
        <v>4889</v>
      </c>
      <c r="F214" s="21">
        <v>2507</v>
      </c>
      <c r="G214" s="21">
        <v>2382</v>
      </c>
      <c r="H214" s="21">
        <v>37.961930000000002</v>
      </c>
      <c r="I214" s="21">
        <v>-4.5457280000000004</v>
      </c>
      <c r="J214" s="21">
        <v>143.05439999999999</v>
      </c>
      <c r="O214" s="21" t="str">
        <f t="shared" si="6"/>
        <v/>
      </c>
      <c r="R214" s="26" t="s">
        <v>865</v>
      </c>
      <c r="S214" s="21">
        <v>395.24250000000001</v>
      </c>
    </row>
    <row r="215" spans="1:19" x14ac:dyDescent="0.25">
      <c r="A215" s="21">
        <v>214</v>
      </c>
      <c r="B215" s="26" t="s">
        <v>41</v>
      </c>
      <c r="C215" s="26" t="s">
        <v>144</v>
      </c>
      <c r="D215" s="26" t="s">
        <v>474</v>
      </c>
      <c r="E215" s="21">
        <v>703</v>
      </c>
      <c r="F215" s="21">
        <v>344</v>
      </c>
      <c r="G215" s="21">
        <v>359</v>
      </c>
      <c r="H215" s="21">
        <v>38.139510000000001</v>
      </c>
      <c r="I215" s="21">
        <v>-4.9030519999999997</v>
      </c>
      <c r="J215" s="21">
        <v>578.86540000000002</v>
      </c>
      <c r="O215" s="21" t="str">
        <f t="shared" si="6"/>
        <v/>
      </c>
      <c r="R215" s="26" t="s">
        <v>951</v>
      </c>
      <c r="S215" s="21">
        <v>307.18049999999999</v>
      </c>
    </row>
    <row r="216" spans="1:19" x14ac:dyDescent="0.25">
      <c r="A216" s="21">
        <v>215</v>
      </c>
      <c r="B216" s="26" t="s">
        <v>41</v>
      </c>
      <c r="C216" s="26" t="s">
        <v>145</v>
      </c>
      <c r="D216" s="26" t="s">
        <v>475</v>
      </c>
      <c r="E216" s="21">
        <v>9141</v>
      </c>
      <c r="F216" s="21">
        <v>4523</v>
      </c>
      <c r="G216" s="21">
        <v>4618</v>
      </c>
      <c r="H216" s="21">
        <v>38.322789999999998</v>
      </c>
      <c r="I216" s="21">
        <v>-4.6283409999999998</v>
      </c>
      <c r="J216" s="21">
        <v>728.58789999999999</v>
      </c>
      <c r="O216" s="21" t="str">
        <f t="shared" si="6"/>
        <v/>
      </c>
      <c r="R216" s="26" t="s">
        <v>672</v>
      </c>
      <c r="S216" s="21">
        <v>739.81330000000003</v>
      </c>
    </row>
    <row r="217" spans="1:19" x14ac:dyDescent="0.25">
      <c r="A217" s="21">
        <v>216</v>
      </c>
      <c r="B217" s="26" t="s">
        <v>41</v>
      </c>
      <c r="C217" s="26" t="s">
        <v>146</v>
      </c>
      <c r="D217" s="26" t="s">
        <v>476</v>
      </c>
      <c r="E217" s="21">
        <v>1553</v>
      </c>
      <c r="F217" s="21">
        <v>777</v>
      </c>
      <c r="G217" s="21">
        <v>776</v>
      </c>
      <c r="H217" s="21">
        <v>38.392969999999998</v>
      </c>
      <c r="I217" s="21">
        <v>-5.0001319999999998</v>
      </c>
      <c r="J217" s="21">
        <v>583.84519999999998</v>
      </c>
      <c r="O217" s="21" t="str">
        <f t="shared" si="6"/>
        <v/>
      </c>
      <c r="R217" s="26" t="s">
        <v>521</v>
      </c>
      <c r="S217" s="21">
        <v>1021.059</v>
      </c>
    </row>
    <row r="218" spans="1:19" x14ac:dyDescent="0.25">
      <c r="A218" s="21">
        <v>217</v>
      </c>
      <c r="B218" s="26" t="s">
        <v>41</v>
      </c>
      <c r="C218" s="26" t="s">
        <v>147</v>
      </c>
      <c r="D218" s="26" t="s">
        <v>477</v>
      </c>
      <c r="E218" s="21">
        <v>1096</v>
      </c>
      <c r="F218" s="21">
        <v>550</v>
      </c>
      <c r="G218" s="21">
        <v>546</v>
      </c>
      <c r="H218" s="21">
        <v>38.199649999999998</v>
      </c>
      <c r="I218" s="21">
        <v>-5.1514430000000004</v>
      </c>
      <c r="J218" s="21">
        <v>556.63139999999999</v>
      </c>
      <c r="O218" s="21" t="str">
        <f t="shared" si="6"/>
        <v/>
      </c>
      <c r="R218" s="26" t="s">
        <v>753</v>
      </c>
      <c r="S218" s="21">
        <v>755.19619999999998</v>
      </c>
    </row>
    <row r="219" spans="1:19" x14ac:dyDescent="0.25">
      <c r="A219" s="21">
        <v>218</v>
      </c>
      <c r="B219" s="26" t="s">
        <v>41</v>
      </c>
      <c r="C219" s="26" t="s">
        <v>148</v>
      </c>
      <c r="D219" s="26" t="s">
        <v>478</v>
      </c>
      <c r="E219" s="21">
        <v>1238</v>
      </c>
      <c r="F219" s="21">
        <v>608</v>
      </c>
      <c r="G219" s="21">
        <v>630</v>
      </c>
      <c r="H219" s="21">
        <v>38.455710000000003</v>
      </c>
      <c r="I219" s="21">
        <v>-4.9843710000000003</v>
      </c>
      <c r="J219" s="21">
        <v>586.78030000000001</v>
      </c>
      <c r="O219" s="21" t="str">
        <f t="shared" si="6"/>
        <v/>
      </c>
      <c r="R219" s="26" t="s">
        <v>377</v>
      </c>
      <c r="S219" s="21">
        <v>30.782779999999999</v>
      </c>
    </row>
    <row r="220" spans="1:19" x14ac:dyDescent="0.25">
      <c r="A220" s="21">
        <v>219</v>
      </c>
      <c r="B220" s="26" t="s">
        <v>41</v>
      </c>
      <c r="C220" s="26" t="s">
        <v>149</v>
      </c>
      <c r="D220" s="26" t="s">
        <v>479</v>
      </c>
      <c r="E220" s="21">
        <v>3443</v>
      </c>
      <c r="F220" s="21">
        <v>1755</v>
      </c>
      <c r="G220" s="21">
        <v>1688</v>
      </c>
      <c r="H220" s="21">
        <v>38.075980000000001</v>
      </c>
      <c r="I220" s="21">
        <v>-5.0142139999999999</v>
      </c>
      <c r="J220" s="21">
        <v>699.25130000000001</v>
      </c>
      <c r="O220" s="21" t="str">
        <f t="shared" si="6"/>
        <v/>
      </c>
      <c r="R220" s="26" t="s">
        <v>952</v>
      </c>
      <c r="S220" s="21">
        <v>328.96050000000002</v>
      </c>
    </row>
    <row r="221" spans="1:19" x14ac:dyDescent="0.25">
      <c r="A221" s="21">
        <v>220</v>
      </c>
      <c r="B221" s="26" t="s">
        <v>41</v>
      </c>
      <c r="C221" s="26" t="s">
        <v>150</v>
      </c>
      <c r="D221" s="26" t="s">
        <v>480</v>
      </c>
      <c r="E221" s="21">
        <v>2651</v>
      </c>
      <c r="F221" s="21">
        <v>1307</v>
      </c>
      <c r="G221" s="21">
        <v>1344</v>
      </c>
      <c r="H221" s="21">
        <v>38.482700000000001</v>
      </c>
      <c r="I221" s="21">
        <v>-4.9553919999999998</v>
      </c>
      <c r="J221" s="21">
        <v>578.68129999999996</v>
      </c>
      <c r="O221" s="21" t="str">
        <f t="shared" si="6"/>
        <v/>
      </c>
      <c r="R221" s="26" t="s">
        <v>953</v>
      </c>
      <c r="S221" s="21">
        <v>132.0701</v>
      </c>
    </row>
    <row r="222" spans="1:19" x14ac:dyDescent="0.25">
      <c r="A222" s="21">
        <v>221</v>
      </c>
      <c r="B222" s="26" t="s">
        <v>41</v>
      </c>
      <c r="C222" s="26" t="s">
        <v>151</v>
      </c>
      <c r="D222" s="26" t="s">
        <v>481</v>
      </c>
      <c r="E222" s="21">
        <v>688</v>
      </c>
      <c r="F222" s="21">
        <v>347</v>
      </c>
      <c r="G222" s="21">
        <v>341</v>
      </c>
      <c r="H222" s="21">
        <v>37.543140000000001</v>
      </c>
      <c r="I222" s="21">
        <v>-4.3164150000000001</v>
      </c>
      <c r="J222" s="21">
        <v>652.79480000000001</v>
      </c>
      <c r="O222" s="21" t="str">
        <f t="shared" si="6"/>
        <v/>
      </c>
      <c r="R222" s="26" t="s">
        <v>954</v>
      </c>
      <c r="S222" s="21">
        <v>99.498679999999993</v>
      </c>
    </row>
    <row r="223" spans="1:19" x14ac:dyDescent="0.25">
      <c r="A223" s="21">
        <v>222</v>
      </c>
      <c r="B223" s="26" t="s">
        <v>45</v>
      </c>
      <c r="C223" s="26" t="s">
        <v>76</v>
      </c>
      <c r="D223" s="26" t="s">
        <v>482</v>
      </c>
      <c r="E223" s="21">
        <v>310</v>
      </c>
      <c r="F223" s="21">
        <v>157</v>
      </c>
      <c r="G223" s="21">
        <v>153</v>
      </c>
      <c r="H223" s="21">
        <v>37.03058</v>
      </c>
      <c r="I223" s="21">
        <v>-3.8297240000000001</v>
      </c>
      <c r="J223" s="21">
        <v>1057.4929999999999</v>
      </c>
      <c r="O223" s="21" t="str">
        <f t="shared" si="6"/>
        <v/>
      </c>
      <c r="R223" s="26" t="s">
        <v>955</v>
      </c>
      <c r="S223" s="21">
        <v>117.3369</v>
      </c>
    </row>
    <row r="224" spans="1:19" x14ac:dyDescent="0.25">
      <c r="A224" s="21">
        <v>223</v>
      </c>
      <c r="B224" s="26" t="s">
        <v>45</v>
      </c>
      <c r="C224" s="26" t="s">
        <v>77</v>
      </c>
      <c r="D224" s="26" t="s">
        <v>483</v>
      </c>
      <c r="E224" s="21">
        <v>637</v>
      </c>
      <c r="F224" s="21">
        <v>331</v>
      </c>
      <c r="G224" s="21">
        <v>306</v>
      </c>
      <c r="H224" s="21">
        <v>37.581740000000003</v>
      </c>
      <c r="I224" s="21">
        <v>-3.2443089999999999</v>
      </c>
      <c r="J224" s="21">
        <v>867.96140000000003</v>
      </c>
      <c r="O224" s="21" t="str">
        <f t="shared" si="6"/>
        <v/>
      </c>
      <c r="R224" s="26" t="s">
        <v>522</v>
      </c>
      <c r="S224" s="21">
        <v>770.95309999999995</v>
      </c>
    </row>
    <row r="225" spans="1:19" x14ac:dyDescent="0.25">
      <c r="A225" s="21">
        <v>224</v>
      </c>
      <c r="B225" s="26" t="s">
        <v>45</v>
      </c>
      <c r="C225" s="26" t="s">
        <v>78</v>
      </c>
      <c r="D225" s="26" t="s">
        <v>484</v>
      </c>
      <c r="E225" s="21">
        <v>18464</v>
      </c>
      <c r="F225" s="21">
        <v>9210</v>
      </c>
      <c r="G225" s="21">
        <v>9254</v>
      </c>
      <c r="H225" s="21">
        <v>37.230849999999997</v>
      </c>
      <c r="I225" s="21">
        <v>-3.6574149999999999</v>
      </c>
      <c r="J225" s="21">
        <v>650.21379999999999</v>
      </c>
      <c r="O225" s="21" t="str">
        <f t="shared" si="6"/>
        <v/>
      </c>
      <c r="R225" s="26" t="s">
        <v>956</v>
      </c>
      <c r="S225" s="21">
        <v>344.42140000000001</v>
      </c>
    </row>
    <row r="226" spans="1:19" x14ac:dyDescent="0.25">
      <c r="A226" s="21">
        <v>225</v>
      </c>
      <c r="B226" s="26" t="s">
        <v>45</v>
      </c>
      <c r="C226" s="26" t="s">
        <v>79</v>
      </c>
      <c r="D226" s="26" t="s">
        <v>485</v>
      </c>
      <c r="E226" s="21">
        <v>782</v>
      </c>
      <c r="F226" s="21">
        <v>437</v>
      </c>
      <c r="G226" s="21">
        <v>345</v>
      </c>
      <c r="H226" s="21">
        <v>36.827289999999998</v>
      </c>
      <c r="I226" s="21">
        <v>-3.2108129999999999</v>
      </c>
      <c r="J226" s="21">
        <v>894.41610000000003</v>
      </c>
      <c r="O226" s="21" t="str">
        <f t="shared" si="6"/>
        <v/>
      </c>
      <c r="R226" s="26" t="s">
        <v>754</v>
      </c>
      <c r="S226" s="21">
        <v>702.9443</v>
      </c>
    </row>
    <row r="227" spans="1:19" x14ac:dyDescent="0.25">
      <c r="A227" s="21">
        <v>226</v>
      </c>
      <c r="B227" s="26" t="s">
        <v>45</v>
      </c>
      <c r="C227" s="26" t="s">
        <v>80</v>
      </c>
      <c r="D227" s="26" t="s">
        <v>486</v>
      </c>
      <c r="E227" s="21">
        <v>420</v>
      </c>
      <c r="F227" s="21">
        <v>218</v>
      </c>
      <c r="G227" s="21">
        <v>202</v>
      </c>
      <c r="H227" s="21">
        <v>37.22719</v>
      </c>
      <c r="I227" s="21">
        <v>-3.133893</v>
      </c>
      <c r="J227" s="21">
        <v>1115.9749999999999</v>
      </c>
      <c r="O227" s="21" t="str">
        <f t="shared" si="6"/>
        <v/>
      </c>
      <c r="R227" s="26" t="s">
        <v>523</v>
      </c>
      <c r="S227" s="21">
        <v>904.81719999999996</v>
      </c>
    </row>
    <row r="228" spans="1:19" x14ac:dyDescent="0.25">
      <c r="A228" s="21">
        <v>227</v>
      </c>
      <c r="B228" s="26" t="s">
        <v>45</v>
      </c>
      <c r="C228" s="26" t="s">
        <v>81</v>
      </c>
      <c r="D228" s="26" t="s">
        <v>487</v>
      </c>
      <c r="E228" s="21">
        <v>6948</v>
      </c>
      <c r="F228" s="21">
        <v>3677</v>
      </c>
      <c r="G228" s="21">
        <v>3271</v>
      </c>
      <c r="H228" s="21">
        <v>36.791249999999998</v>
      </c>
      <c r="I228" s="21">
        <v>-3.2034850000000001</v>
      </c>
      <c r="J228" s="21">
        <v>247.2122</v>
      </c>
      <c r="O228" s="21" t="str">
        <f t="shared" si="6"/>
        <v/>
      </c>
      <c r="R228" s="26" t="s">
        <v>237</v>
      </c>
      <c r="S228" s="21">
        <v>943.70709999999997</v>
      </c>
    </row>
    <row r="229" spans="1:19" x14ac:dyDescent="0.25">
      <c r="A229" s="21">
        <v>228</v>
      </c>
      <c r="B229" s="26" t="s">
        <v>45</v>
      </c>
      <c r="C229" s="26" t="s">
        <v>82</v>
      </c>
      <c r="D229" s="26" t="s">
        <v>488</v>
      </c>
      <c r="E229" s="21">
        <v>893</v>
      </c>
      <c r="F229" s="21">
        <v>451</v>
      </c>
      <c r="G229" s="21">
        <v>442</v>
      </c>
      <c r="H229" s="21">
        <v>36.928199999999997</v>
      </c>
      <c r="I229" s="21">
        <v>-3.631472</v>
      </c>
      <c r="J229" s="21">
        <v>728.18439999999998</v>
      </c>
      <c r="O229" s="21" t="str">
        <f t="shared" si="6"/>
        <v/>
      </c>
      <c r="R229" s="26" t="s">
        <v>426</v>
      </c>
      <c r="S229" s="21">
        <v>229.52850000000001</v>
      </c>
    </row>
    <row r="230" spans="1:19" x14ac:dyDescent="0.25">
      <c r="A230" s="21">
        <v>229</v>
      </c>
      <c r="B230" s="26" t="s">
        <v>45</v>
      </c>
      <c r="C230" s="26" t="s">
        <v>85</v>
      </c>
      <c r="D230" s="26" t="s">
        <v>489</v>
      </c>
      <c r="E230" s="21">
        <v>631</v>
      </c>
      <c r="F230" s="21">
        <v>334</v>
      </c>
      <c r="G230" s="21">
        <v>297</v>
      </c>
      <c r="H230" s="21">
        <v>37.162640000000003</v>
      </c>
      <c r="I230" s="21">
        <v>-3.0724879999999999</v>
      </c>
      <c r="J230" s="21">
        <v>1274.0150000000001</v>
      </c>
      <c r="O230" s="21" t="str">
        <f t="shared" si="6"/>
        <v/>
      </c>
      <c r="R230" s="26" t="s">
        <v>755</v>
      </c>
      <c r="S230" s="21">
        <v>299.44799999999998</v>
      </c>
    </row>
    <row r="231" spans="1:19" x14ac:dyDescent="0.25">
      <c r="A231" s="21">
        <v>230</v>
      </c>
      <c r="B231" s="26" t="s">
        <v>45</v>
      </c>
      <c r="C231" s="26" t="s">
        <v>86</v>
      </c>
      <c r="D231" s="26" t="s">
        <v>490</v>
      </c>
      <c r="E231" s="21">
        <v>5445</v>
      </c>
      <c r="F231" s="21">
        <v>2763</v>
      </c>
      <c r="G231" s="21">
        <v>2682</v>
      </c>
      <c r="H231" s="21">
        <v>37.23657</v>
      </c>
      <c r="I231" s="21">
        <v>-3.5706540000000002</v>
      </c>
      <c r="J231" s="21">
        <v>915.64509999999996</v>
      </c>
      <c r="O231" s="21" t="str">
        <f t="shared" si="6"/>
        <v/>
      </c>
      <c r="R231" s="26" t="s">
        <v>957</v>
      </c>
      <c r="S231" s="21">
        <v>589.11789999999996</v>
      </c>
    </row>
    <row r="232" spans="1:19" x14ac:dyDescent="0.25">
      <c r="A232" s="21">
        <v>231</v>
      </c>
      <c r="B232" s="26" t="s">
        <v>45</v>
      </c>
      <c r="C232" s="26" t="s">
        <v>87</v>
      </c>
      <c r="D232" s="26" t="s">
        <v>491</v>
      </c>
      <c r="E232" s="21">
        <v>2813</v>
      </c>
      <c r="F232" s="21">
        <v>1445</v>
      </c>
      <c r="G232" s="21">
        <v>1368</v>
      </c>
      <c r="H232" s="21">
        <v>37.324919999999999</v>
      </c>
      <c r="I232" s="21">
        <v>-4.1588459999999996</v>
      </c>
      <c r="J232" s="21">
        <v>596.21010000000001</v>
      </c>
      <c r="O232" s="21" t="str">
        <f t="shared" si="6"/>
        <v/>
      </c>
      <c r="R232" s="26" t="s">
        <v>756</v>
      </c>
      <c r="S232" s="21">
        <v>803.9982</v>
      </c>
    </row>
    <row r="233" spans="1:19" x14ac:dyDescent="0.25">
      <c r="A233" s="21">
        <v>232</v>
      </c>
      <c r="B233" s="26" t="s">
        <v>45</v>
      </c>
      <c r="C233" s="26" t="s">
        <v>89</v>
      </c>
      <c r="D233" s="26" t="s">
        <v>492</v>
      </c>
      <c r="E233" s="21">
        <v>6126</v>
      </c>
      <c r="F233" s="21">
        <v>3289</v>
      </c>
      <c r="G233" s="21">
        <v>2837</v>
      </c>
      <c r="H233" s="21">
        <v>37.002519999999997</v>
      </c>
      <c r="I233" s="21">
        <v>-3.9883890000000002</v>
      </c>
      <c r="J233" s="21">
        <v>890.95299999999997</v>
      </c>
      <c r="O233" s="21" t="str">
        <f t="shared" si="6"/>
        <v/>
      </c>
      <c r="R233" s="26" t="s">
        <v>524</v>
      </c>
      <c r="S233" s="21">
        <v>746.41719999999998</v>
      </c>
    </row>
    <row r="234" spans="1:19" x14ac:dyDescent="0.25">
      <c r="A234" s="21">
        <v>233</v>
      </c>
      <c r="B234" s="26" t="s">
        <v>45</v>
      </c>
      <c r="C234" s="26" t="s">
        <v>88</v>
      </c>
      <c r="D234" s="26" t="s">
        <v>493</v>
      </c>
      <c r="E234" s="21">
        <v>8503</v>
      </c>
      <c r="F234" s="21">
        <v>4333</v>
      </c>
      <c r="G234" s="21">
        <v>4170</v>
      </c>
      <c r="H234" s="21">
        <v>37.107599999999998</v>
      </c>
      <c r="I234" s="21">
        <v>-3.6455839999999999</v>
      </c>
      <c r="J234" s="21">
        <v>736.65279999999996</v>
      </c>
      <c r="O234" s="21" t="str">
        <f t="shared" si="6"/>
        <v/>
      </c>
      <c r="R234" s="26" t="s">
        <v>673</v>
      </c>
      <c r="S234" s="21">
        <v>301.11900000000003</v>
      </c>
    </row>
    <row r="235" spans="1:19" x14ac:dyDescent="0.25">
      <c r="A235" s="21">
        <v>234</v>
      </c>
      <c r="B235" s="26" t="s">
        <v>45</v>
      </c>
      <c r="C235" s="26" t="s">
        <v>90</v>
      </c>
      <c r="D235" s="26" t="s">
        <v>494</v>
      </c>
      <c r="E235" s="21">
        <v>523</v>
      </c>
      <c r="F235" s="21">
        <v>273</v>
      </c>
      <c r="G235" s="21">
        <v>250</v>
      </c>
      <c r="H235" s="21">
        <v>37.609679999999997</v>
      </c>
      <c r="I235" s="21">
        <v>-3.1379860000000002</v>
      </c>
      <c r="J235" s="21">
        <v>692.77800000000002</v>
      </c>
      <c r="O235" s="21" t="str">
        <f t="shared" si="6"/>
        <v/>
      </c>
      <c r="R235" s="26" t="s">
        <v>525</v>
      </c>
      <c r="S235" s="21">
        <v>552.41579999999999</v>
      </c>
    </row>
    <row r="236" spans="1:19" x14ac:dyDescent="0.25">
      <c r="A236" s="21">
        <v>235</v>
      </c>
      <c r="B236" s="26" t="s">
        <v>45</v>
      </c>
      <c r="C236" s="26" t="s">
        <v>91</v>
      </c>
      <c r="D236" s="26" t="s">
        <v>495</v>
      </c>
      <c r="E236" s="21">
        <v>376</v>
      </c>
      <c r="F236" s="21">
        <v>207</v>
      </c>
      <c r="G236" s="21">
        <v>169</v>
      </c>
      <c r="H236" s="21">
        <v>36.902450000000002</v>
      </c>
      <c r="I236" s="21">
        <v>-3.299801</v>
      </c>
      <c r="J236" s="21">
        <v>811.47090000000003</v>
      </c>
      <c r="O236" s="21" t="str">
        <f t="shared" si="6"/>
        <v/>
      </c>
      <c r="R236" s="26" t="s">
        <v>238</v>
      </c>
      <c r="S236" s="21">
        <v>789.67909999999995</v>
      </c>
    </row>
    <row r="237" spans="1:19" x14ac:dyDescent="0.25">
      <c r="A237" s="21">
        <v>236</v>
      </c>
      <c r="B237" s="26" t="s">
        <v>45</v>
      </c>
      <c r="C237" s="26" t="s">
        <v>92</v>
      </c>
      <c r="D237" s="26" t="s">
        <v>496</v>
      </c>
      <c r="E237" s="21">
        <v>27391</v>
      </c>
      <c r="F237" s="21">
        <v>13558</v>
      </c>
      <c r="G237" s="21">
        <v>13833</v>
      </c>
      <c r="H237" s="21">
        <v>36.734540000000003</v>
      </c>
      <c r="I237" s="21">
        <v>-3.6907359999999998</v>
      </c>
      <c r="J237" s="21">
        <v>24.01802</v>
      </c>
      <c r="O237" s="21" t="str">
        <f t="shared" ref="O237:O300" si="7">IFERROR(VLOOKUP($O$1,B237:D1009,3,FALSE),"")</f>
        <v/>
      </c>
      <c r="R237" s="26" t="s">
        <v>378</v>
      </c>
      <c r="S237" s="21">
        <v>13.2455</v>
      </c>
    </row>
    <row r="238" spans="1:19" x14ac:dyDescent="0.25">
      <c r="A238" s="21">
        <v>237</v>
      </c>
      <c r="B238" s="26" t="s">
        <v>45</v>
      </c>
      <c r="C238" s="26" t="s">
        <v>189</v>
      </c>
      <c r="D238" s="26" t="s">
        <v>497</v>
      </c>
      <c r="E238" s="21">
        <v>1041</v>
      </c>
      <c r="F238" s="21">
        <v>559</v>
      </c>
      <c r="G238" s="21">
        <v>482</v>
      </c>
      <c r="H238" s="21">
        <v>36.981499999999997</v>
      </c>
      <c r="I238" s="21">
        <v>-3.1571289999999999</v>
      </c>
      <c r="J238" s="21">
        <v>1238.5409999999999</v>
      </c>
      <c r="O238" s="21" t="str">
        <f t="shared" si="7"/>
        <v/>
      </c>
      <c r="R238" s="26" t="s">
        <v>757</v>
      </c>
      <c r="S238" s="21">
        <v>849.22339999999997</v>
      </c>
    </row>
    <row r="239" spans="1:19" x14ac:dyDescent="0.25">
      <c r="A239" s="21">
        <v>238</v>
      </c>
      <c r="B239" s="26" t="s">
        <v>45</v>
      </c>
      <c r="C239" s="26" t="s">
        <v>93</v>
      </c>
      <c r="D239" s="26" t="s">
        <v>498</v>
      </c>
      <c r="E239" s="21">
        <v>718</v>
      </c>
      <c r="F239" s="21">
        <v>358</v>
      </c>
      <c r="G239" s="21">
        <v>360</v>
      </c>
      <c r="H239" s="21">
        <v>37.179830000000003</v>
      </c>
      <c r="I239" s="21">
        <v>-3.1162879999999999</v>
      </c>
      <c r="J239" s="21">
        <v>1202.9459999999999</v>
      </c>
      <c r="O239" s="21" t="str">
        <f t="shared" si="7"/>
        <v/>
      </c>
      <c r="R239" s="26" t="s">
        <v>758</v>
      </c>
      <c r="S239" s="21">
        <v>731.59029999999996</v>
      </c>
    </row>
    <row r="240" spans="1:19" x14ac:dyDescent="0.25">
      <c r="A240" s="21">
        <v>239</v>
      </c>
      <c r="B240" s="26" t="s">
        <v>45</v>
      </c>
      <c r="C240" s="26" t="s">
        <v>95</v>
      </c>
      <c r="D240" s="26" t="s">
        <v>499</v>
      </c>
      <c r="E240" s="21">
        <v>1865</v>
      </c>
      <c r="F240" s="21">
        <v>963</v>
      </c>
      <c r="G240" s="21">
        <v>902</v>
      </c>
      <c r="H240" s="21">
        <v>36.957709999999999</v>
      </c>
      <c r="I240" s="21">
        <v>-3.894323</v>
      </c>
      <c r="J240" s="21">
        <v>870.34090000000003</v>
      </c>
      <c r="O240" s="21" t="str">
        <f t="shared" si="7"/>
        <v/>
      </c>
      <c r="R240" s="26" t="s">
        <v>526</v>
      </c>
      <c r="S240" s="21">
        <v>699.71010000000001</v>
      </c>
    </row>
    <row r="241" spans="1:19" x14ac:dyDescent="0.25">
      <c r="A241" s="21">
        <v>240</v>
      </c>
      <c r="B241" s="26" t="s">
        <v>45</v>
      </c>
      <c r="C241" s="26" t="s">
        <v>96</v>
      </c>
      <c r="D241" s="26" t="s">
        <v>500</v>
      </c>
      <c r="E241" s="21">
        <v>23623</v>
      </c>
      <c r="F241" s="21">
        <v>11828</v>
      </c>
      <c r="G241" s="21">
        <v>11795</v>
      </c>
      <c r="H241" s="21">
        <v>37.140099999999997</v>
      </c>
      <c r="I241" s="21">
        <v>-3.6179809999999999</v>
      </c>
      <c r="J241" s="21">
        <v>671.61800000000005</v>
      </c>
      <c r="O241" s="21" t="str">
        <f t="shared" si="7"/>
        <v/>
      </c>
      <c r="R241" s="26" t="s">
        <v>379</v>
      </c>
      <c r="S241" s="21">
        <v>11.724970000000001</v>
      </c>
    </row>
    <row r="242" spans="1:19" x14ac:dyDescent="0.25">
      <c r="A242" s="21">
        <v>241</v>
      </c>
      <c r="B242" s="26" t="s">
        <v>45</v>
      </c>
      <c r="C242" s="26" t="s">
        <v>97</v>
      </c>
      <c r="D242" s="26" t="s">
        <v>501</v>
      </c>
      <c r="E242" s="21">
        <v>17792</v>
      </c>
      <c r="F242" s="21">
        <v>8852</v>
      </c>
      <c r="G242" s="21">
        <v>8940</v>
      </c>
      <c r="H242" s="21">
        <v>37.222900000000003</v>
      </c>
      <c r="I242" s="21">
        <v>-3.6874159999999998</v>
      </c>
      <c r="J242" s="21">
        <v>604.91999999999996</v>
      </c>
      <c r="O242" s="21" t="str">
        <f t="shared" si="7"/>
        <v/>
      </c>
      <c r="R242" s="26" t="s">
        <v>239</v>
      </c>
      <c r="S242" s="21">
        <v>1039.713</v>
      </c>
    </row>
    <row r="243" spans="1:19" x14ac:dyDescent="0.25">
      <c r="A243" s="21">
        <v>242</v>
      </c>
      <c r="B243" s="26" t="s">
        <v>45</v>
      </c>
      <c r="C243" s="26" t="s">
        <v>98</v>
      </c>
      <c r="D243" s="26" t="s">
        <v>502</v>
      </c>
      <c r="E243" s="21">
        <v>20668</v>
      </c>
      <c r="F243" s="21">
        <v>10280</v>
      </c>
      <c r="G243" s="21">
        <v>10388</v>
      </c>
      <c r="H243" s="21">
        <v>37.490650000000002</v>
      </c>
      <c r="I243" s="21">
        <v>-2.774473</v>
      </c>
      <c r="J243" s="21">
        <v>850.29780000000005</v>
      </c>
      <c r="O243" s="21" t="str">
        <f t="shared" si="7"/>
        <v/>
      </c>
      <c r="R243" s="26" t="s">
        <v>674</v>
      </c>
      <c r="S243" s="21">
        <v>148.2157</v>
      </c>
    </row>
    <row r="244" spans="1:19" x14ac:dyDescent="0.25">
      <c r="A244" s="21">
        <v>243</v>
      </c>
      <c r="B244" s="26" t="s">
        <v>45</v>
      </c>
      <c r="C244" s="26" t="s">
        <v>99</v>
      </c>
      <c r="D244" s="26" t="s">
        <v>503</v>
      </c>
      <c r="E244" s="21">
        <v>1012</v>
      </c>
      <c r="F244" s="21">
        <v>549</v>
      </c>
      <c r="G244" s="21">
        <v>463</v>
      </c>
      <c r="H244" s="21">
        <v>37.219160000000002</v>
      </c>
      <c r="I244" s="21">
        <v>-3.4817369999999999</v>
      </c>
      <c r="J244" s="21">
        <v>1068.3399999999999</v>
      </c>
      <c r="O244" s="21" t="str">
        <f t="shared" si="7"/>
        <v/>
      </c>
      <c r="R244" s="26" t="s">
        <v>527</v>
      </c>
      <c r="S244" s="21">
        <v>657.35</v>
      </c>
    </row>
    <row r="245" spans="1:19" x14ac:dyDescent="0.25">
      <c r="A245" s="21">
        <v>244</v>
      </c>
      <c r="B245" s="26" t="s">
        <v>45</v>
      </c>
      <c r="C245" s="26" t="s">
        <v>100</v>
      </c>
      <c r="D245" s="26" t="s">
        <v>504</v>
      </c>
      <c r="E245" s="21">
        <v>363</v>
      </c>
      <c r="F245" s="21">
        <v>184</v>
      </c>
      <c r="G245" s="21">
        <v>179</v>
      </c>
      <c r="H245" s="21">
        <v>37.279400000000003</v>
      </c>
      <c r="I245" s="21">
        <v>-3.2059760000000002</v>
      </c>
      <c r="J245" s="21">
        <v>955.70320000000004</v>
      </c>
      <c r="O245" s="21" t="str">
        <f t="shared" si="7"/>
        <v/>
      </c>
      <c r="R245" s="26" t="s">
        <v>528</v>
      </c>
      <c r="S245" s="21">
        <v>539.73350000000005</v>
      </c>
    </row>
    <row r="246" spans="1:19" x14ac:dyDescent="0.25">
      <c r="A246" s="21">
        <v>245</v>
      </c>
      <c r="B246" s="26" t="s">
        <v>45</v>
      </c>
      <c r="C246" s="26" t="s">
        <v>103</v>
      </c>
      <c r="D246" s="26" t="s">
        <v>505</v>
      </c>
      <c r="E246" s="21">
        <v>3298</v>
      </c>
      <c r="F246" s="21">
        <v>1644</v>
      </c>
      <c r="G246" s="21">
        <v>1654</v>
      </c>
      <c r="H246" s="21">
        <v>37.350299999999997</v>
      </c>
      <c r="I246" s="21">
        <v>-3.1690399999999999</v>
      </c>
      <c r="J246" s="21">
        <v>858.68709999999999</v>
      </c>
      <c r="O246" s="21" t="str">
        <f t="shared" si="7"/>
        <v/>
      </c>
      <c r="R246" s="26" t="s">
        <v>240</v>
      </c>
      <c r="S246" s="21">
        <v>606.99620000000004</v>
      </c>
    </row>
    <row r="247" spans="1:19" x14ac:dyDescent="0.25">
      <c r="A247" s="21">
        <v>246</v>
      </c>
      <c r="B247" s="26" t="s">
        <v>45</v>
      </c>
      <c r="C247" s="26" t="s">
        <v>104</v>
      </c>
      <c r="D247" s="26" t="s">
        <v>506</v>
      </c>
      <c r="E247" s="21">
        <v>1148</v>
      </c>
      <c r="F247" s="21">
        <v>602</v>
      </c>
      <c r="G247" s="21">
        <v>546</v>
      </c>
      <c r="H247" s="21">
        <v>37.427579999999999</v>
      </c>
      <c r="I247" s="21">
        <v>-3.6834730000000002</v>
      </c>
      <c r="J247" s="21">
        <v>848.78139999999996</v>
      </c>
      <c r="O247" s="21" t="str">
        <f t="shared" si="7"/>
        <v/>
      </c>
      <c r="R247" s="26" t="s">
        <v>529</v>
      </c>
      <c r="S247" s="21">
        <v>1142.019</v>
      </c>
    </row>
    <row r="248" spans="1:19" x14ac:dyDescent="0.25">
      <c r="A248" s="21">
        <v>247</v>
      </c>
      <c r="B248" s="26" t="s">
        <v>45</v>
      </c>
      <c r="C248" s="26" t="s">
        <v>102</v>
      </c>
      <c r="D248" s="26" t="s">
        <v>507</v>
      </c>
      <c r="E248" s="21">
        <v>2378</v>
      </c>
      <c r="F248" s="21">
        <v>1210</v>
      </c>
      <c r="G248" s="21">
        <v>1168</v>
      </c>
      <c r="H248" s="21">
        <v>37.60913</v>
      </c>
      <c r="I248" s="21">
        <v>-2.699214</v>
      </c>
      <c r="J248" s="21">
        <v>719.23469999999998</v>
      </c>
      <c r="O248" s="21" t="str">
        <f t="shared" si="7"/>
        <v/>
      </c>
      <c r="R248" s="26" t="s">
        <v>530</v>
      </c>
      <c r="S248" s="21">
        <v>997.72429999999997</v>
      </c>
    </row>
    <row r="249" spans="1:19" x14ac:dyDescent="0.25">
      <c r="A249" s="21">
        <v>248</v>
      </c>
      <c r="B249" s="26" t="s">
        <v>45</v>
      </c>
      <c r="C249" s="26" t="s">
        <v>105</v>
      </c>
      <c r="D249" s="26" t="s">
        <v>508</v>
      </c>
      <c r="E249" s="21">
        <v>739</v>
      </c>
      <c r="F249" s="21">
        <v>394</v>
      </c>
      <c r="G249" s="21">
        <v>345</v>
      </c>
      <c r="H249" s="21">
        <v>36.97672</v>
      </c>
      <c r="I249" s="21">
        <v>-3.1903790000000001</v>
      </c>
      <c r="J249" s="21">
        <v>1330.123</v>
      </c>
      <c r="O249" s="21" t="str">
        <f t="shared" si="7"/>
        <v/>
      </c>
      <c r="R249" s="26" t="s">
        <v>866</v>
      </c>
      <c r="S249" s="21">
        <v>212.39179999999999</v>
      </c>
    </row>
    <row r="250" spans="1:19" x14ac:dyDescent="0.25">
      <c r="A250" s="21">
        <v>249</v>
      </c>
      <c r="B250" s="26" t="s">
        <v>45</v>
      </c>
      <c r="C250" s="26" t="s">
        <v>107</v>
      </c>
      <c r="D250" s="26" t="s">
        <v>509</v>
      </c>
      <c r="E250" s="21">
        <v>309</v>
      </c>
      <c r="F250" s="21">
        <v>159</v>
      </c>
      <c r="G250" s="21">
        <v>150</v>
      </c>
      <c r="H250" s="21">
        <v>36.948830000000001</v>
      </c>
      <c r="I250" s="21">
        <v>-3.356741</v>
      </c>
      <c r="J250" s="21">
        <v>1298.578</v>
      </c>
      <c r="O250" s="21" t="str">
        <f t="shared" si="7"/>
        <v/>
      </c>
      <c r="R250" s="26" t="s">
        <v>867</v>
      </c>
      <c r="S250" s="21">
        <v>674.26409999999998</v>
      </c>
    </row>
    <row r="251" spans="1:19" x14ac:dyDescent="0.25">
      <c r="A251" s="21">
        <v>250</v>
      </c>
      <c r="B251" s="26" t="s">
        <v>45</v>
      </c>
      <c r="C251" s="26" t="s">
        <v>108</v>
      </c>
      <c r="D251" s="26" t="s">
        <v>510</v>
      </c>
      <c r="E251" s="21">
        <v>289</v>
      </c>
      <c r="F251" s="21">
        <v>155</v>
      </c>
      <c r="G251" s="21">
        <v>134</v>
      </c>
      <c r="H251" s="21">
        <v>36.937710000000003</v>
      </c>
      <c r="I251" s="21">
        <v>-3.2948460000000002</v>
      </c>
      <c r="J251" s="21">
        <v>1160.204</v>
      </c>
      <c r="O251" s="21" t="str">
        <f t="shared" si="7"/>
        <v/>
      </c>
      <c r="R251" s="26" t="s">
        <v>531</v>
      </c>
      <c r="S251" s="21">
        <v>855.02170000000001</v>
      </c>
    </row>
    <row r="252" spans="1:19" x14ac:dyDescent="0.25">
      <c r="A252" s="21">
        <v>251</v>
      </c>
      <c r="B252" s="26" t="s">
        <v>45</v>
      </c>
      <c r="C252" s="26" t="s">
        <v>109</v>
      </c>
      <c r="D252" s="26" t="s">
        <v>511</v>
      </c>
      <c r="E252" s="21">
        <v>589</v>
      </c>
      <c r="F252" s="21">
        <v>298</v>
      </c>
      <c r="G252" s="21">
        <v>291</v>
      </c>
      <c r="H252" s="21">
        <v>37.059950000000001</v>
      </c>
      <c r="I252" s="21">
        <v>-3.91689</v>
      </c>
      <c r="J252" s="21">
        <v>701.99789999999996</v>
      </c>
      <c r="O252" s="21" t="str">
        <f t="shared" si="7"/>
        <v/>
      </c>
      <c r="R252" s="26" t="s">
        <v>868</v>
      </c>
      <c r="S252" s="21">
        <v>691.99019999999996</v>
      </c>
    </row>
    <row r="253" spans="1:19" x14ac:dyDescent="0.25">
      <c r="A253" s="21">
        <v>252</v>
      </c>
      <c r="B253" s="26" t="s">
        <v>45</v>
      </c>
      <c r="C253" s="26" t="s">
        <v>110</v>
      </c>
      <c r="D253" s="26" t="s">
        <v>512</v>
      </c>
      <c r="E253" s="21">
        <v>1554</v>
      </c>
      <c r="F253" s="21">
        <v>808</v>
      </c>
      <c r="G253" s="21">
        <v>746</v>
      </c>
      <c r="H253" s="21">
        <v>36.946730000000002</v>
      </c>
      <c r="I253" s="21">
        <v>-3.1805460000000001</v>
      </c>
      <c r="J253" s="21">
        <v>926.38699999999994</v>
      </c>
      <c r="O253" s="21" t="str">
        <f t="shared" si="7"/>
        <v/>
      </c>
      <c r="R253" s="26" t="s">
        <v>869</v>
      </c>
      <c r="S253" s="21">
        <v>631.62030000000004</v>
      </c>
    </row>
    <row r="254" spans="1:19" x14ac:dyDescent="0.25">
      <c r="A254" s="21">
        <v>253</v>
      </c>
      <c r="B254" s="26" t="s">
        <v>45</v>
      </c>
      <c r="C254" s="26" t="s">
        <v>111</v>
      </c>
      <c r="D254" s="26" t="s">
        <v>513</v>
      </c>
      <c r="E254" s="21">
        <v>4909</v>
      </c>
      <c r="F254" s="21">
        <v>2383</v>
      </c>
      <c r="G254" s="21">
        <v>2526</v>
      </c>
      <c r="H254" s="21">
        <v>37.134219999999999</v>
      </c>
      <c r="I254" s="21">
        <v>-3.5706180000000001</v>
      </c>
      <c r="J254" s="21">
        <v>730.56610000000001</v>
      </c>
      <c r="O254" s="21" t="str">
        <f t="shared" si="7"/>
        <v/>
      </c>
      <c r="R254" s="26" t="s">
        <v>380</v>
      </c>
      <c r="S254" s="21">
        <v>33.709919999999997</v>
      </c>
    </row>
    <row r="255" spans="1:19" x14ac:dyDescent="0.25">
      <c r="A255" s="21">
        <v>254</v>
      </c>
      <c r="B255" s="26" t="s">
        <v>45</v>
      </c>
      <c r="C255" s="26" t="s">
        <v>186</v>
      </c>
      <c r="D255" s="26" t="s">
        <v>514</v>
      </c>
      <c r="E255" s="21">
        <v>719</v>
      </c>
      <c r="F255" s="21">
        <v>359</v>
      </c>
      <c r="G255" s="21">
        <v>360</v>
      </c>
      <c r="H255" s="21">
        <v>37.181370000000001</v>
      </c>
      <c r="I255" s="21">
        <v>-3.0645129999999998</v>
      </c>
      <c r="J255" s="21">
        <v>1198.7460000000001</v>
      </c>
      <c r="O255" s="21" t="str">
        <f t="shared" si="7"/>
        <v/>
      </c>
      <c r="R255" s="26" t="s">
        <v>427</v>
      </c>
      <c r="S255" s="21">
        <v>597.36749999999995</v>
      </c>
    </row>
    <row r="256" spans="1:19" x14ac:dyDescent="0.25">
      <c r="A256" s="21">
        <v>255</v>
      </c>
      <c r="B256" s="26" t="s">
        <v>45</v>
      </c>
      <c r="C256" s="26" t="s">
        <v>112</v>
      </c>
      <c r="D256" s="26" t="s">
        <v>515</v>
      </c>
      <c r="E256" s="21">
        <v>606</v>
      </c>
      <c r="F256" s="21">
        <v>295</v>
      </c>
      <c r="G256" s="21">
        <v>311</v>
      </c>
      <c r="H256" s="21">
        <v>37.273290000000003</v>
      </c>
      <c r="I256" s="21">
        <v>-3.6181999999999999</v>
      </c>
      <c r="J256" s="21">
        <v>764.55050000000006</v>
      </c>
      <c r="O256" s="21" t="str">
        <f t="shared" si="7"/>
        <v/>
      </c>
      <c r="R256" s="26" t="s">
        <v>958</v>
      </c>
      <c r="S256" s="21">
        <v>562.72500000000002</v>
      </c>
    </row>
    <row r="257" spans="1:19" x14ac:dyDescent="0.25">
      <c r="A257" s="21">
        <v>256</v>
      </c>
      <c r="B257" s="26" t="s">
        <v>45</v>
      </c>
      <c r="C257" s="26" t="s">
        <v>113</v>
      </c>
      <c r="D257" s="26" t="s">
        <v>516</v>
      </c>
      <c r="E257" s="21">
        <v>1301</v>
      </c>
      <c r="F257" s="21">
        <v>676</v>
      </c>
      <c r="G257" s="21">
        <v>625</v>
      </c>
      <c r="H257" s="21">
        <v>37.481310000000001</v>
      </c>
      <c r="I257" s="21">
        <v>-3.6164969999999999</v>
      </c>
      <c r="J257" s="21">
        <v>925.54190000000006</v>
      </c>
      <c r="O257" s="21" t="str">
        <f t="shared" si="7"/>
        <v/>
      </c>
      <c r="R257" s="26" t="s">
        <v>41</v>
      </c>
      <c r="S257" s="21">
        <v>131.9102</v>
      </c>
    </row>
    <row r="258" spans="1:19" x14ac:dyDescent="0.25">
      <c r="A258" s="21">
        <v>257</v>
      </c>
      <c r="B258" s="26" t="s">
        <v>45</v>
      </c>
      <c r="C258" s="26" t="s">
        <v>114</v>
      </c>
      <c r="D258" s="26" t="s">
        <v>517</v>
      </c>
      <c r="E258" s="21">
        <v>4351</v>
      </c>
      <c r="F258" s="21">
        <v>2206</v>
      </c>
      <c r="G258" s="21">
        <v>2145</v>
      </c>
      <c r="H258" s="21">
        <v>37.436259999999997</v>
      </c>
      <c r="I258" s="21">
        <v>-2.7224010000000001</v>
      </c>
      <c r="J258" s="21">
        <v>914.91909999999996</v>
      </c>
      <c r="O258" s="21" t="str">
        <f t="shared" si="7"/>
        <v/>
      </c>
      <c r="R258" s="26" t="s">
        <v>959</v>
      </c>
      <c r="S258" s="21">
        <v>12.71133</v>
      </c>
    </row>
    <row r="259" spans="1:19" x14ac:dyDescent="0.25">
      <c r="A259" s="21">
        <v>258</v>
      </c>
      <c r="B259" s="26" t="s">
        <v>45</v>
      </c>
      <c r="C259" s="26" t="s">
        <v>115</v>
      </c>
      <c r="D259" s="26" t="s">
        <v>518</v>
      </c>
      <c r="E259" s="21">
        <v>405</v>
      </c>
      <c r="F259" s="21">
        <v>209</v>
      </c>
      <c r="G259" s="21">
        <v>196</v>
      </c>
      <c r="H259" s="21">
        <v>36.926609999999997</v>
      </c>
      <c r="I259" s="21">
        <v>-3.4282349999999999</v>
      </c>
      <c r="J259" s="21">
        <v>1026.3969999999999</v>
      </c>
      <c r="O259" s="21" t="str">
        <f t="shared" si="7"/>
        <v/>
      </c>
      <c r="R259" s="26" t="s">
        <v>960</v>
      </c>
      <c r="S259" s="21">
        <v>322.89580000000001</v>
      </c>
    </row>
    <row r="260" spans="1:19" x14ac:dyDescent="0.25">
      <c r="A260" s="21">
        <v>259</v>
      </c>
      <c r="B260" s="26" t="s">
        <v>45</v>
      </c>
      <c r="C260" s="26" t="s">
        <v>117</v>
      </c>
      <c r="D260" s="26" t="s">
        <v>519</v>
      </c>
      <c r="E260" s="21">
        <v>508</v>
      </c>
      <c r="F260" s="21">
        <v>249</v>
      </c>
      <c r="G260" s="21">
        <v>259</v>
      </c>
      <c r="H260" s="21">
        <v>36.961219999999997</v>
      </c>
      <c r="I260" s="21">
        <v>-3.358654</v>
      </c>
      <c r="J260" s="21">
        <v>1444.893</v>
      </c>
      <c r="O260" s="21" t="str">
        <f t="shared" si="7"/>
        <v/>
      </c>
      <c r="R260" s="26" t="s">
        <v>961</v>
      </c>
      <c r="S260" s="21">
        <v>135</v>
      </c>
    </row>
    <row r="261" spans="1:19" x14ac:dyDescent="0.25">
      <c r="A261" s="21">
        <v>260</v>
      </c>
      <c r="B261" s="26" t="s">
        <v>45</v>
      </c>
      <c r="C261" s="26" t="s">
        <v>118</v>
      </c>
      <c r="D261" s="26" t="s">
        <v>520</v>
      </c>
      <c r="E261" s="21">
        <v>210</v>
      </c>
      <c r="F261" s="21">
        <v>113</v>
      </c>
      <c r="G261" s="21">
        <v>97</v>
      </c>
      <c r="H261" s="21">
        <v>36.922870000000003</v>
      </c>
      <c r="I261" s="21">
        <v>-3.4082020000000002</v>
      </c>
      <c r="J261" s="21">
        <v>761.68640000000005</v>
      </c>
      <c r="O261" s="21" t="str">
        <f t="shared" si="7"/>
        <v/>
      </c>
      <c r="R261" s="26" t="s">
        <v>962</v>
      </c>
      <c r="S261" s="21">
        <v>387.23399999999998</v>
      </c>
    </row>
    <row r="262" spans="1:19" x14ac:dyDescent="0.25">
      <c r="A262" s="21">
        <v>261</v>
      </c>
      <c r="B262" s="26" t="s">
        <v>45</v>
      </c>
      <c r="C262" s="26" t="s">
        <v>119</v>
      </c>
      <c r="D262" s="26" t="s">
        <v>521</v>
      </c>
      <c r="E262" s="21">
        <v>250</v>
      </c>
      <c r="F262" s="21">
        <v>153</v>
      </c>
      <c r="G262" s="21">
        <v>97</v>
      </c>
      <c r="H262" s="21">
        <v>36.931690000000003</v>
      </c>
      <c r="I262" s="21">
        <v>-3.253733</v>
      </c>
      <c r="J262" s="21">
        <v>1021.059</v>
      </c>
      <c r="O262" s="21" t="str">
        <f t="shared" si="7"/>
        <v/>
      </c>
      <c r="R262" s="26" t="s">
        <v>675</v>
      </c>
      <c r="S262" s="21">
        <v>581.7432</v>
      </c>
    </row>
    <row r="263" spans="1:19" x14ac:dyDescent="0.25">
      <c r="A263" s="21">
        <v>262</v>
      </c>
      <c r="B263" s="26" t="s">
        <v>45</v>
      </c>
      <c r="C263" s="26" t="s">
        <v>120</v>
      </c>
      <c r="D263" s="26" t="s">
        <v>522</v>
      </c>
      <c r="E263" s="21">
        <v>1400</v>
      </c>
      <c r="F263" s="21">
        <v>735</v>
      </c>
      <c r="G263" s="21">
        <v>665</v>
      </c>
      <c r="H263" s="21">
        <v>37.714700000000001</v>
      </c>
      <c r="I263" s="21">
        <v>-2.6429670000000001</v>
      </c>
      <c r="J263" s="21">
        <v>770.95309999999995</v>
      </c>
      <c r="O263" s="21" t="str">
        <f t="shared" si="7"/>
        <v/>
      </c>
      <c r="R263" s="26" t="s">
        <v>676</v>
      </c>
      <c r="S263" s="21">
        <v>686.30899999999997</v>
      </c>
    </row>
    <row r="264" spans="1:19" x14ac:dyDescent="0.25">
      <c r="A264" s="21">
        <v>263</v>
      </c>
      <c r="B264" s="26" t="s">
        <v>45</v>
      </c>
      <c r="C264" s="26" t="s">
        <v>121</v>
      </c>
      <c r="D264" s="26" t="s">
        <v>523</v>
      </c>
      <c r="E264" s="21">
        <v>2276</v>
      </c>
      <c r="F264" s="21">
        <v>1159</v>
      </c>
      <c r="G264" s="21">
        <v>1117</v>
      </c>
      <c r="H264" s="21">
        <v>37.795729999999999</v>
      </c>
      <c r="I264" s="21">
        <v>-2.7790879999999998</v>
      </c>
      <c r="J264" s="21">
        <v>904.81719999999996</v>
      </c>
      <c r="O264" s="21" t="str">
        <f t="shared" si="7"/>
        <v/>
      </c>
      <c r="R264" s="26" t="s">
        <v>677</v>
      </c>
      <c r="S264" s="21">
        <v>624.83429999999998</v>
      </c>
    </row>
    <row r="265" spans="1:19" x14ac:dyDescent="0.25">
      <c r="A265" s="21">
        <v>264</v>
      </c>
      <c r="B265" s="26" t="s">
        <v>45</v>
      </c>
      <c r="C265" s="26" t="s">
        <v>122</v>
      </c>
      <c r="D265" s="26" t="s">
        <v>524</v>
      </c>
      <c r="E265" s="21">
        <v>7942</v>
      </c>
      <c r="F265" s="21">
        <v>4007</v>
      </c>
      <c r="G265" s="21">
        <v>3935</v>
      </c>
      <c r="H265" s="21">
        <v>37.159309999999998</v>
      </c>
      <c r="I265" s="21">
        <v>-3.5375239999999999</v>
      </c>
      <c r="J265" s="21">
        <v>746.41719999999998</v>
      </c>
      <c r="O265" s="21" t="str">
        <f t="shared" si="7"/>
        <v/>
      </c>
      <c r="R265" s="26" t="s">
        <v>532</v>
      </c>
      <c r="S265" s="21">
        <v>707.9819</v>
      </c>
    </row>
    <row r="266" spans="1:19" x14ac:dyDescent="0.25">
      <c r="A266" s="21">
        <v>265</v>
      </c>
      <c r="B266" s="26" t="s">
        <v>45</v>
      </c>
      <c r="C266" s="26" t="s">
        <v>135</v>
      </c>
      <c r="D266" s="26" t="s">
        <v>525</v>
      </c>
      <c r="E266" s="21">
        <v>5428</v>
      </c>
      <c r="F266" s="21">
        <v>2696</v>
      </c>
      <c r="G266" s="21">
        <v>2732</v>
      </c>
      <c r="H266" s="21">
        <v>37.201419999999999</v>
      </c>
      <c r="I266" s="21">
        <v>-3.7725399999999998</v>
      </c>
      <c r="J266" s="21">
        <v>552.41579999999999</v>
      </c>
      <c r="O266" s="21" t="str">
        <f t="shared" si="7"/>
        <v/>
      </c>
      <c r="R266" s="26" t="s">
        <v>870</v>
      </c>
      <c r="S266" s="21">
        <v>623.01310000000001</v>
      </c>
    </row>
    <row r="267" spans="1:19" x14ac:dyDescent="0.25">
      <c r="A267" s="21">
        <v>266</v>
      </c>
      <c r="B267" s="26" t="s">
        <v>45</v>
      </c>
      <c r="C267" s="26" t="s">
        <v>136</v>
      </c>
      <c r="D267" s="26" t="s">
        <v>526</v>
      </c>
      <c r="E267" s="21">
        <v>1360</v>
      </c>
      <c r="F267" s="21">
        <v>719</v>
      </c>
      <c r="G267" s="21">
        <v>641</v>
      </c>
      <c r="H267" s="21">
        <v>37.131369999999997</v>
      </c>
      <c r="I267" s="21">
        <v>-3.8231980000000001</v>
      </c>
      <c r="J267" s="21">
        <v>699.71010000000001</v>
      </c>
      <c r="O267" s="21" t="str">
        <f t="shared" si="7"/>
        <v/>
      </c>
      <c r="R267" s="26" t="s">
        <v>533</v>
      </c>
      <c r="S267" s="21">
        <v>976.43550000000005</v>
      </c>
    </row>
    <row r="268" spans="1:19" x14ac:dyDescent="0.25">
      <c r="A268" s="21">
        <v>267</v>
      </c>
      <c r="B268" s="26" t="s">
        <v>45</v>
      </c>
      <c r="C268" s="26" t="s">
        <v>137</v>
      </c>
      <c r="D268" s="26" t="s">
        <v>527</v>
      </c>
      <c r="E268" s="21">
        <v>13907</v>
      </c>
      <c r="F268" s="21">
        <v>6919</v>
      </c>
      <c r="G268" s="21">
        <v>6988</v>
      </c>
      <c r="H268" s="21">
        <v>37.147770000000001</v>
      </c>
      <c r="I268" s="21">
        <v>-3.64595</v>
      </c>
      <c r="J268" s="21">
        <v>657.35</v>
      </c>
      <c r="O268" s="21" t="str">
        <f t="shared" si="7"/>
        <v/>
      </c>
      <c r="R268" s="26" t="s">
        <v>963</v>
      </c>
      <c r="S268" s="21">
        <v>59.24586</v>
      </c>
    </row>
    <row r="269" spans="1:19" x14ac:dyDescent="0.25">
      <c r="A269" s="21">
        <v>268</v>
      </c>
      <c r="B269" s="26" t="s">
        <v>45</v>
      </c>
      <c r="C269" s="26" t="s">
        <v>123</v>
      </c>
      <c r="D269" s="26" t="s">
        <v>528</v>
      </c>
      <c r="E269" s="21">
        <v>3221</v>
      </c>
      <c r="F269" s="21">
        <v>1640</v>
      </c>
      <c r="G269" s="21">
        <v>1581</v>
      </c>
      <c r="H269" s="21">
        <v>37.199890000000003</v>
      </c>
      <c r="I269" s="21">
        <v>-3.8108010000000001</v>
      </c>
      <c r="J269" s="21">
        <v>539.73350000000005</v>
      </c>
      <c r="O269" s="21" t="str">
        <f t="shared" si="7"/>
        <v/>
      </c>
      <c r="R269" s="26" t="s">
        <v>871</v>
      </c>
      <c r="S269" s="21">
        <v>316.25299999999999</v>
      </c>
    </row>
    <row r="270" spans="1:19" x14ac:dyDescent="0.25">
      <c r="A270" s="21">
        <v>269</v>
      </c>
      <c r="B270" s="26" t="s">
        <v>45</v>
      </c>
      <c r="C270" s="26" t="s">
        <v>124</v>
      </c>
      <c r="D270" s="26" t="s">
        <v>529</v>
      </c>
      <c r="E270" s="21">
        <v>718</v>
      </c>
      <c r="F270" s="21">
        <v>390</v>
      </c>
      <c r="G270" s="21">
        <v>328</v>
      </c>
      <c r="H270" s="21">
        <v>37.224429999999998</v>
      </c>
      <c r="I270" s="21">
        <v>-3.1613359999999999</v>
      </c>
      <c r="J270" s="21">
        <v>1142.019</v>
      </c>
      <c r="O270" s="21" t="str">
        <f t="shared" si="7"/>
        <v/>
      </c>
      <c r="R270" s="26" t="s">
        <v>872</v>
      </c>
      <c r="S270" s="21">
        <v>407.23410000000001</v>
      </c>
    </row>
    <row r="271" spans="1:19" x14ac:dyDescent="0.25">
      <c r="A271" s="21">
        <v>270</v>
      </c>
      <c r="B271" s="26" t="s">
        <v>45</v>
      </c>
      <c r="C271" s="26" t="s">
        <v>125</v>
      </c>
      <c r="D271" s="26" t="s">
        <v>530</v>
      </c>
      <c r="E271" s="21">
        <v>2099</v>
      </c>
      <c r="F271" s="21">
        <v>1045</v>
      </c>
      <c r="G271" s="21">
        <v>1054</v>
      </c>
      <c r="H271" s="21">
        <v>37.274859999999997</v>
      </c>
      <c r="I271" s="21">
        <v>-3.572908</v>
      </c>
      <c r="J271" s="21">
        <v>997.72429999999997</v>
      </c>
      <c r="O271" s="21" t="str">
        <f t="shared" si="7"/>
        <v/>
      </c>
      <c r="R271" s="26" t="s">
        <v>241</v>
      </c>
      <c r="S271" s="21">
        <v>97.291030000000006</v>
      </c>
    </row>
    <row r="272" spans="1:19" x14ac:dyDescent="0.25">
      <c r="A272" s="21">
        <v>271</v>
      </c>
      <c r="B272" s="26" t="s">
        <v>45</v>
      </c>
      <c r="C272" s="26" t="s">
        <v>126</v>
      </c>
      <c r="D272" s="26" t="s">
        <v>531</v>
      </c>
      <c r="E272" s="21">
        <v>1416</v>
      </c>
      <c r="F272" s="21">
        <v>746</v>
      </c>
      <c r="G272" s="21">
        <v>670</v>
      </c>
      <c r="H272" s="21">
        <v>37.372059999999998</v>
      </c>
      <c r="I272" s="21">
        <v>-3.7138200000000001</v>
      </c>
      <c r="J272" s="21">
        <v>855.02170000000001</v>
      </c>
      <c r="O272" s="21" t="str">
        <f t="shared" si="7"/>
        <v/>
      </c>
      <c r="R272" s="26" t="s">
        <v>873</v>
      </c>
      <c r="S272" s="21">
        <v>727.99310000000003</v>
      </c>
    </row>
    <row r="273" spans="1:19" x14ac:dyDescent="0.25">
      <c r="A273" s="21">
        <v>272</v>
      </c>
      <c r="B273" s="26" t="s">
        <v>45</v>
      </c>
      <c r="C273" s="26" t="s">
        <v>128</v>
      </c>
      <c r="D273" s="26" t="s">
        <v>532</v>
      </c>
      <c r="E273" s="21">
        <v>2058</v>
      </c>
      <c r="F273" s="21">
        <v>1039</v>
      </c>
      <c r="G273" s="21">
        <v>1019</v>
      </c>
      <c r="H273" s="21">
        <v>37.65493</v>
      </c>
      <c r="I273" s="21">
        <v>-2.769917</v>
      </c>
      <c r="J273" s="21">
        <v>707.9819</v>
      </c>
      <c r="O273" s="21" t="str">
        <f t="shared" si="7"/>
        <v/>
      </c>
      <c r="R273" s="26" t="s">
        <v>534</v>
      </c>
      <c r="S273" s="21">
        <v>832.75819999999999</v>
      </c>
    </row>
    <row r="274" spans="1:19" x14ac:dyDescent="0.25">
      <c r="A274" s="21">
        <v>273</v>
      </c>
      <c r="B274" s="26" t="s">
        <v>45</v>
      </c>
      <c r="C274" s="26" t="s">
        <v>129</v>
      </c>
      <c r="D274" s="26" t="s">
        <v>533</v>
      </c>
      <c r="E274" s="21">
        <v>1043</v>
      </c>
      <c r="F274" s="21">
        <v>538</v>
      </c>
      <c r="G274" s="21">
        <v>505</v>
      </c>
      <c r="H274" s="21">
        <v>37.303629999999998</v>
      </c>
      <c r="I274" s="21">
        <v>-3.2187770000000002</v>
      </c>
      <c r="J274" s="21">
        <v>976.43550000000005</v>
      </c>
      <c r="O274" s="21" t="str">
        <f t="shared" si="7"/>
        <v/>
      </c>
      <c r="R274" s="26" t="s">
        <v>535</v>
      </c>
      <c r="S274" s="21">
        <v>895.66499999999996</v>
      </c>
    </row>
    <row r="275" spans="1:19" x14ac:dyDescent="0.25">
      <c r="A275" s="21">
        <v>274</v>
      </c>
      <c r="B275" s="26" t="s">
        <v>45</v>
      </c>
      <c r="C275" s="26" t="s">
        <v>357</v>
      </c>
      <c r="D275" s="26" t="s">
        <v>534</v>
      </c>
      <c r="E275" s="21">
        <v>1882</v>
      </c>
      <c r="F275" s="21">
        <v>942</v>
      </c>
      <c r="G275" s="21">
        <v>940</v>
      </c>
      <c r="H275" s="21">
        <v>37.608469999999997</v>
      </c>
      <c r="I275" s="21">
        <v>-2.9310330000000002</v>
      </c>
      <c r="J275" s="21">
        <v>832.75819999999999</v>
      </c>
      <c r="O275" s="21" t="str">
        <f t="shared" si="7"/>
        <v/>
      </c>
      <c r="R275" s="26" t="s">
        <v>536</v>
      </c>
      <c r="S275" s="21">
        <v>643.16890000000001</v>
      </c>
    </row>
    <row r="276" spans="1:19" x14ac:dyDescent="0.25">
      <c r="A276" s="21">
        <v>275</v>
      </c>
      <c r="B276" s="26" t="s">
        <v>45</v>
      </c>
      <c r="C276" s="26" t="s">
        <v>131</v>
      </c>
      <c r="D276" s="26" t="s">
        <v>535</v>
      </c>
      <c r="E276" s="21">
        <v>4351</v>
      </c>
      <c r="F276" s="21">
        <v>2183</v>
      </c>
      <c r="G276" s="21">
        <v>2168</v>
      </c>
      <c r="H276" s="21">
        <v>37.583680000000001</v>
      </c>
      <c r="I276" s="21">
        <v>-2.576282</v>
      </c>
      <c r="J276" s="21">
        <v>895.66499999999996</v>
      </c>
      <c r="O276" s="21" t="str">
        <f t="shared" si="7"/>
        <v/>
      </c>
      <c r="R276" s="26" t="s">
        <v>678</v>
      </c>
      <c r="S276" s="21">
        <v>592.31640000000004</v>
      </c>
    </row>
    <row r="277" spans="1:19" x14ac:dyDescent="0.25">
      <c r="A277" s="21">
        <v>276</v>
      </c>
      <c r="B277" s="26" t="s">
        <v>45</v>
      </c>
      <c r="C277" s="26" t="s">
        <v>132</v>
      </c>
      <c r="D277" s="26" t="s">
        <v>536</v>
      </c>
      <c r="E277" s="21">
        <v>7128</v>
      </c>
      <c r="F277" s="21">
        <v>3608</v>
      </c>
      <c r="G277" s="21">
        <v>3520</v>
      </c>
      <c r="H277" s="21">
        <v>37.153269999999999</v>
      </c>
      <c r="I277" s="21">
        <v>-3.670436</v>
      </c>
      <c r="J277" s="21">
        <v>643.16890000000001</v>
      </c>
      <c r="O277" s="21" t="str">
        <f t="shared" si="7"/>
        <v/>
      </c>
      <c r="R277" s="26" t="s">
        <v>679</v>
      </c>
      <c r="S277" s="21">
        <v>579.47370000000001</v>
      </c>
    </row>
    <row r="278" spans="1:19" x14ac:dyDescent="0.25">
      <c r="A278" s="21">
        <v>277</v>
      </c>
      <c r="B278" s="26" t="s">
        <v>45</v>
      </c>
      <c r="C278" s="26" t="s">
        <v>139</v>
      </c>
      <c r="D278" s="26" t="s">
        <v>537</v>
      </c>
      <c r="E278" s="21">
        <v>1545</v>
      </c>
      <c r="F278" s="21">
        <v>772</v>
      </c>
      <c r="G278" s="21">
        <v>773</v>
      </c>
      <c r="H278" s="21">
        <v>37.350020000000001</v>
      </c>
      <c r="I278" s="21">
        <v>-3.2925309999999999</v>
      </c>
      <c r="J278" s="21">
        <v>1115.7439999999999</v>
      </c>
      <c r="O278" s="21" t="str">
        <f t="shared" si="7"/>
        <v/>
      </c>
      <c r="R278" s="26" t="s">
        <v>680</v>
      </c>
      <c r="S278" s="21">
        <v>694.76980000000003</v>
      </c>
    </row>
    <row r="279" spans="1:19" x14ac:dyDescent="0.25">
      <c r="A279" s="21">
        <v>278</v>
      </c>
      <c r="B279" s="26" t="s">
        <v>45</v>
      </c>
      <c r="C279" s="26" t="s">
        <v>140</v>
      </c>
      <c r="D279" s="26" t="s">
        <v>538</v>
      </c>
      <c r="E279" s="21">
        <v>454</v>
      </c>
      <c r="F279" s="21">
        <v>229</v>
      </c>
      <c r="G279" s="21">
        <v>225</v>
      </c>
      <c r="H279" s="21">
        <v>37.588679999999997</v>
      </c>
      <c r="I279" s="21">
        <v>-3.1022780000000001</v>
      </c>
      <c r="J279" s="21">
        <v>684.29960000000005</v>
      </c>
      <c r="O279" s="21" t="str">
        <f t="shared" si="7"/>
        <v/>
      </c>
      <c r="R279" s="26" t="s">
        <v>874</v>
      </c>
      <c r="S279" s="21">
        <v>297.52809999999999</v>
      </c>
    </row>
    <row r="280" spans="1:19" x14ac:dyDescent="0.25">
      <c r="A280" s="21">
        <v>279</v>
      </c>
      <c r="B280" s="26" t="s">
        <v>45</v>
      </c>
      <c r="C280" s="26" t="s">
        <v>141</v>
      </c>
      <c r="D280" s="27" t="s">
        <v>539</v>
      </c>
      <c r="E280" s="21">
        <v>783</v>
      </c>
      <c r="F280" s="21">
        <v>399</v>
      </c>
      <c r="G280" s="21">
        <v>384</v>
      </c>
      <c r="H280" s="21">
        <v>37.466700000000003</v>
      </c>
      <c r="I280" s="21">
        <v>-3.55</v>
      </c>
      <c r="J280" s="21">
        <v>956</v>
      </c>
      <c r="O280" s="21" t="str">
        <f t="shared" si="7"/>
        <v/>
      </c>
      <c r="R280" s="26" t="s">
        <v>242</v>
      </c>
      <c r="S280" s="21">
        <v>415.96440000000001</v>
      </c>
    </row>
    <row r="281" spans="1:19" x14ac:dyDescent="0.25">
      <c r="A281" s="21">
        <v>280</v>
      </c>
      <c r="B281" s="26" t="s">
        <v>45</v>
      </c>
      <c r="C281" s="26" t="s">
        <v>142</v>
      </c>
      <c r="D281" s="26" t="s">
        <v>540</v>
      </c>
      <c r="E281" s="21">
        <v>2624</v>
      </c>
      <c r="F281" s="21">
        <v>1321</v>
      </c>
      <c r="G281" s="21">
        <v>1303</v>
      </c>
      <c r="H281" s="21">
        <v>37.325240000000001</v>
      </c>
      <c r="I281" s="21">
        <v>-3.594484</v>
      </c>
      <c r="J281" s="21">
        <v>744.61080000000004</v>
      </c>
      <c r="O281" s="21" t="str">
        <f t="shared" si="7"/>
        <v/>
      </c>
      <c r="R281" s="26" t="s">
        <v>537</v>
      </c>
      <c r="S281" s="21">
        <v>1115.7439999999999</v>
      </c>
    </row>
    <row r="282" spans="1:19" x14ac:dyDescent="0.25">
      <c r="A282" s="21">
        <v>281</v>
      </c>
      <c r="B282" s="26" t="s">
        <v>45</v>
      </c>
      <c r="C282" s="26" t="s">
        <v>143</v>
      </c>
      <c r="D282" s="26" t="s">
        <v>541</v>
      </c>
      <c r="E282" s="21">
        <v>780</v>
      </c>
      <c r="F282" s="21">
        <v>395</v>
      </c>
      <c r="G282" s="21">
        <v>385</v>
      </c>
      <c r="H282" s="21">
        <v>37.32085</v>
      </c>
      <c r="I282" s="21">
        <v>-3.331664</v>
      </c>
      <c r="J282" s="21">
        <v>1227.4480000000001</v>
      </c>
      <c r="O282" s="21" t="str">
        <f t="shared" si="7"/>
        <v/>
      </c>
      <c r="R282" s="26" t="s">
        <v>538</v>
      </c>
      <c r="S282" s="21">
        <v>684.29960000000005</v>
      </c>
    </row>
    <row r="283" spans="1:19" x14ac:dyDescent="0.25">
      <c r="A283" s="21">
        <v>282</v>
      </c>
      <c r="B283" s="26" t="s">
        <v>45</v>
      </c>
      <c r="C283" s="26" t="s">
        <v>144</v>
      </c>
      <c r="D283" s="26" t="s">
        <v>542</v>
      </c>
      <c r="E283" s="21">
        <v>1838</v>
      </c>
      <c r="F283" s="21">
        <v>920</v>
      </c>
      <c r="G283" s="21">
        <v>918</v>
      </c>
      <c r="H283" s="21">
        <v>37.07499</v>
      </c>
      <c r="I283" s="21">
        <v>-3.6016240000000002</v>
      </c>
      <c r="J283" s="21">
        <v>878.00670000000002</v>
      </c>
      <c r="O283" s="21" t="str">
        <f t="shared" si="7"/>
        <v/>
      </c>
      <c r="R283" s="27" t="s">
        <v>539</v>
      </c>
      <c r="S283" s="21">
        <v>956</v>
      </c>
    </row>
    <row r="284" spans="1:19" x14ac:dyDescent="0.25">
      <c r="A284" s="21">
        <v>283</v>
      </c>
      <c r="B284" s="26" t="s">
        <v>45</v>
      </c>
      <c r="C284" s="26" t="s">
        <v>145</v>
      </c>
      <c r="D284" s="26" t="s">
        <v>543</v>
      </c>
      <c r="E284" s="21">
        <v>621</v>
      </c>
      <c r="F284" s="21">
        <v>323</v>
      </c>
      <c r="G284" s="21">
        <v>298</v>
      </c>
      <c r="H284" s="21">
        <v>37.180039999999998</v>
      </c>
      <c r="I284" s="21">
        <v>-2.9895890000000001</v>
      </c>
      <c r="J284" s="21">
        <v>1204.454</v>
      </c>
      <c r="O284" s="21" t="str">
        <f t="shared" si="7"/>
        <v/>
      </c>
      <c r="R284" s="26" t="s">
        <v>540</v>
      </c>
      <c r="S284" s="21">
        <v>744.61080000000004</v>
      </c>
    </row>
    <row r="285" spans="1:19" x14ac:dyDescent="0.25">
      <c r="A285" s="21">
        <v>284</v>
      </c>
      <c r="B285" s="26" t="s">
        <v>45</v>
      </c>
      <c r="C285" s="26" t="s">
        <v>146</v>
      </c>
      <c r="D285" s="26" t="s">
        <v>544</v>
      </c>
      <c r="E285" s="21">
        <v>348</v>
      </c>
      <c r="F285" s="21">
        <v>188</v>
      </c>
      <c r="G285" s="21">
        <v>160</v>
      </c>
      <c r="H285" s="21">
        <v>37.185670000000002</v>
      </c>
      <c r="I285" s="21">
        <v>-3.484442</v>
      </c>
      <c r="J285" s="21">
        <v>812.02530000000002</v>
      </c>
      <c r="O285" s="21" t="str">
        <f t="shared" si="7"/>
        <v/>
      </c>
      <c r="R285" s="26" t="s">
        <v>541</v>
      </c>
      <c r="S285" s="21">
        <v>1227.4480000000001</v>
      </c>
    </row>
    <row r="286" spans="1:19" x14ac:dyDescent="0.25">
      <c r="A286" s="21">
        <v>285</v>
      </c>
      <c r="B286" s="26" t="s">
        <v>45</v>
      </c>
      <c r="C286" s="26" t="s">
        <v>147</v>
      </c>
      <c r="D286" s="26" t="s">
        <v>545</v>
      </c>
      <c r="E286" s="21">
        <v>7123</v>
      </c>
      <c r="F286" s="21">
        <v>3527</v>
      </c>
      <c r="G286" s="21">
        <v>3596</v>
      </c>
      <c r="H286" s="21">
        <v>36.987929999999999</v>
      </c>
      <c r="I286" s="21">
        <v>-3.56616</v>
      </c>
      <c r="J286" s="21">
        <v>786.65139999999997</v>
      </c>
      <c r="O286" s="21" t="str">
        <f t="shared" si="7"/>
        <v/>
      </c>
      <c r="R286" s="26" t="s">
        <v>542</v>
      </c>
      <c r="S286" s="21">
        <v>878.00670000000002</v>
      </c>
    </row>
    <row r="287" spans="1:19" x14ac:dyDescent="0.25">
      <c r="A287" s="21">
        <v>286</v>
      </c>
      <c r="B287" s="26" t="s">
        <v>45</v>
      </c>
      <c r="C287" s="26" t="s">
        <v>148</v>
      </c>
      <c r="D287" s="26" t="s">
        <v>546</v>
      </c>
      <c r="E287" s="21">
        <v>791</v>
      </c>
      <c r="F287" s="21">
        <v>399</v>
      </c>
      <c r="G287" s="21">
        <v>392</v>
      </c>
      <c r="H287" s="21">
        <v>37.062510000000003</v>
      </c>
      <c r="I287" s="21">
        <v>-3.7614990000000001</v>
      </c>
      <c r="J287" s="21">
        <v>873.65359999999998</v>
      </c>
      <c r="O287" s="21" t="str">
        <f t="shared" si="7"/>
        <v/>
      </c>
      <c r="R287" s="26" t="s">
        <v>543</v>
      </c>
      <c r="S287" s="21">
        <v>1204.454</v>
      </c>
    </row>
    <row r="288" spans="1:19" x14ac:dyDescent="0.25">
      <c r="A288" s="21">
        <v>287</v>
      </c>
      <c r="B288" s="26" t="s">
        <v>45</v>
      </c>
      <c r="C288" s="26" t="s">
        <v>150</v>
      </c>
      <c r="D288" s="26" t="s">
        <v>547</v>
      </c>
      <c r="E288" s="21">
        <v>314</v>
      </c>
      <c r="F288" s="21">
        <v>159</v>
      </c>
      <c r="G288" s="21">
        <v>155</v>
      </c>
      <c r="H288" s="21">
        <v>37.172289999999997</v>
      </c>
      <c r="I288" s="21">
        <v>-3.0360830000000001</v>
      </c>
      <c r="J288" s="21">
        <v>1267.67</v>
      </c>
      <c r="O288" s="21" t="str">
        <f t="shared" si="7"/>
        <v/>
      </c>
      <c r="R288" s="26" t="s">
        <v>428</v>
      </c>
      <c r="S288" s="21">
        <v>598.43640000000005</v>
      </c>
    </row>
    <row r="289" spans="1:19" x14ac:dyDescent="0.25">
      <c r="A289" s="21">
        <v>288</v>
      </c>
      <c r="B289" s="26" t="s">
        <v>45</v>
      </c>
      <c r="C289" s="26" t="s">
        <v>152</v>
      </c>
      <c r="D289" s="26" t="s">
        <v>548</v>
      </c>
      <c r="E289" s="21">
        <v>1054</v>
      </c>
      <c r="F289" s="21">
        <v>548</v>
      </c>
      <c r="G289" s="21">
        <v>506</v>
      </c>
      <c r="H289" s="21">
        <v>37.413440000000001</v>
      </c>
      <c r="I289" s="21">
        <v>-3.1733440000000002</v>
      </c>
      <c r="J289" s="21">
        <v>785.62040000000002</v>
      </c>
      <c r="O289" s="21" t="str">
        <f t="shared" si="7"/>
        <v/>
      </c>
      <c r="R289" s="26" t="s">
        <v>964</v>
      </c>
      <c r="S289" s="21">
        <v>47.757390000000001</v>
      </c>
    </row>
    <row r="290" spans="1:19" x14ac:dyDescent="0.25">
      <c r="A290" s="21">
        <v>289</v>
      </c>
      <c r="B290" s="26" t="s">
        <v>45</v>
      </c>
      <c r="C290" s="26" t="s">
        <v>154</v>
      </c>
      <c r="D290" s="26" t="s">
        <v>549</v>
      </c>
      <c r="E290" s="21">
        <v>950</v>
      </c>
      <c r="F290" s="21">
        <v>482</v>
      </c>
      <c r="G290" s="21">
        <v>468</v>
      </c>
      <c r="H290" s="21">
        <v>37.528689999999997</v>
      </c>
      <c r="I290" s="21">
        <v>-2.9067949999999998</v>
      </c>
      <c r="J290" s="21">
        <v>824.41690000000006</v>
      </c>
      <c r="O290" s="21" t="str">
        <f t="shared" si="7"/>
        <v/>
      </c>
      <c r="R290" s="26" t="s">
        <v>429</v>
      </c>
      <c r="S290" s="21">
        <v>589.47720000000004</v>
      </c>
    </row>
    <row r="291" spans="1:19" x14ac:dyDescent="0.25">
      <c r="A291" s="21">
        <v>290</v>
      </c>
      <c r="B291" s="26" t="s">
        <v>45</v>
      </c>
      <c r="C291" s="26" t="s">
        <v>155</v>
      </c>
      <c r="D291" s="26" t="s">
        <v>550</v>
      </c>
      <c r="E291" s="21">
        <v>4457</v>
      </c>
      <c r="F291" s="21">
        <v>2228</v>
      </c>
      <c r="G291" s="21">
        <v>2229</v>
      </c>
      <c r="H291" s="21">
        <v>37.219569999999997</v>
      </c>
      <c r="I291" s="21">
        <v>-3.7830530000000002</v>
      </c>
      <c r="J291" s="21">
        <v>545.4914</v>
      </c>
      <c r="O291" s="21" t="str">
        <f t="shared" si="7"/>
        <v/>
      </c>
      <c r="R291" s="26" t="s">
        <v>544</v>
      </c>
      <c r="S291" s="21">
        <v>812.02530000000002</v>
      </c>
    </row>
    <row r="292" spans="1:19" x14ac:dyDescent="0.25">
      <c r="A292" s="21">
        <v>291</v>
      </c>
      <c r="B292" s="26" t="s">
        <v>45</v>
      </c>
      <c r="C292" s="26" t="s">
        <v>353</v>
      </c>
      <c r="D292" s="26" t="s">
        <v>551</v>
      </c>
      <c r="E292" s="21">
        <v>19603</v>
      </c>
      <c r="F292" s="21">
        <v>10017</v>
      </c>
      <c r="G292" s="21">
        <v>9586</v>
      </c>
      <c r="H292" s="21">
        <v>37.134999999999998</v>
      </c>
      <c r="I292" s="21">
        <v>-3.6983329999999999</v>
      </c>
      <c r="J292" s="21">
        <v>703.1069</v>
      </c>
      <c r="O292" s="21" t="str">
        <f t="shared" si="7"/>
        <v/>
      </c>
      <c r="R292" s="26" t="s">
        <v>545</v>
      </c>
      <c r="S292" s="21">
        <v>786.65139999999997</v>
      </c>
    </row>
    <row r="293" spans="1:19" x14ac:dyDescent="0.25">
      <c r="A293" s="21">
        <v>292</v>
      </c>
      <c r="B293" s="26" t="s">
        <v>45</v>
      </c>
      <c r="C293" s="26" t="s">
        <v>158</v>
      </c>
      <c r="D293" s="26" t="s">
        <v>552</v>
      </c>
      <c r="E293" s="21">
        <v>1150</v>
      </c>
      <c r="F293" s="21">
        <v>569</v>
      </c>
      <c r="G293" s="21">
        <v>581</v>
      </c>
      <c r="H293" s="21">
        <v>37.742890000000003</v>
      </c>
      <c r="I293" s="21">
        <v>-2.551193</v>
      </c>
      <c r="J293" s="21">
        <v>837.2482</v>
      </c>
      <c r="O293" s="21" t="str">
        <f t="shared" si="7"/>
        <v/>
      </c>
      <c r="R293" s="26" t="s">
        <v>965</v>
      </c>
      <c r="S293" s="21">
        <v>109</v>
      </c>
    </row>
    <row r="294" spans="1:19" x14ac:dyDescent="0.25">
      <c r="A294" s="21">
        <v>293</v>
      </c>
      <c r="B294" s="26" t="s">
        <v>45</v>
      </c>
      <c r="C294" s="26" t="s">
        <v>159</v>
      </c>
      <c r="D294" s="26" t="s">
        <v>553</v>
      </c>
      <c r="E294" s="21">
        <v>298</v>
      </c>
      <c r="F294" s="21">
        <v>140</v>
      </c>
      <c r="G294" s="21">
        <v>158</v>
      </c>
      <c r="H294" s="21">
        <v>37.477370000000001</v>
      </c>
      <c r="I294" s="21">
        <v>-3.3204549999999999</v>
      </c>
      <c r="J294" s="21">
        <v>1039.05</v>
      </c>
      <c r="O294" s="21" t="str">
        <f t="shared" si="7"/>
        <v/>
      </c>
      <c r="R294" s="26" t="s">
        <v>243</v>
      </c>
      <c r="S294" s="21">
        <v>80</v>
      </c>
    </row>
    <row r="295" spans="1:19" x14ac:dyDescent="0.25">
      <c r="A295" s="21">
        <v>294</v>
      </c>
      <c r="B295" s="26" t="s">
        <v>45</v>
      </c>
      <c r="C295" s="26" t="s">
        <v>160</v>
      </c>
      <c r="D295" s="26" t="s">
        <v>554</v>
      </c>
      <c r="E295" s="21">
        <v>5410</v>
      </c>
      <c r="F295" s="21">
        <v>2771</v>
      </c>
      <c r="G295" s="21">
        <v>2639</v>
      </c>
      <c r="H295" s="21">
        <v>37.104430000000001</v>
      </c>
      <c r="I295" s="21">
        <v>-3.6062029999999998</v>
      </c>
      <c r="J295" s="21">
        <v>791.87480000000005</v>
      </c>
      <c r="O295" s="21" t="str">
        <f t="shared" si="7"/>
        <v/>
      </c>
      <c r="R295" s="26" t="s">
        <v>430</v>
      </c>
      <c r="S295" s="21">
        <v>446.92309999999998</v>
      </c>
    </row>
    <row r="296" spans="1:19" x14ac:dyDescent="0.25">
      <c r="A296" s="21">
        <v>295</v>
      </c>
      <c r="B296" s="26" t="s">
        <v>45</v>
      </c>
      <c r="C296" s="26" t="s">
        <v>161</v>
      </c>
      <c r="D296" s="26" t="s">
        <v>555</v>
      </c>
      <c r="E296" s="21">
        <v>777</v>
      </c>
      <c r="F296" s="21">
        <v>396</v>
      </c>
      <c r="G296" s="21">
        <v>381</v>
      </c>
      <c r="H296" s="21">
        <v>37.369520000000001</v>
      </c>
      <c r="I296" s="21">
        <v>-2.9694440000000002</v>
      </c>
      <c r="J296" s="21">
        <v>1241.51</v>
      </c>
      <c r="O296" s="21" t="str">
        <f t="shared" si="7"/>
        <v/>
      </c>
      <c r="R296" s="26" t="s">
        <v>681</v>
      </c>
      <c r="S296" s="21">
        <v>430.96460000000002</v>
      </c>
    </row>
    <row r="297" spans="1:19" x14ac:dyDescent="0.25">
      <c r="A297" s="21">
        <v>296</v>
      </c>
      <c r="B297" s="26" t="s">
        <v>45</v>
      </c>
      <c r="C297" s="26" t="s">
        <v>162</v>
      </c>
      <c r="D297" s="26" t="s">
        <v>556</v>
      </c>
      <c r="E297" s="21">
        <v>420</v>
      </c>
      <c r="F297" s="21">
        <v>216</v>
      </c>
      <c r="G297" s="21">
        <v>204</v>
      </c>
      <c r="H297" s="21">
        <v>37.479019999999998</v>
      </c>
      <c r="I297" s="21">
        <v>-3.0442749999999998</v>
      </c>
      <c r="J297" s="21">
        <v>847.6644</v>
      </c>
      <c r="O297" s="21" t="str">
        <f t="shared" si="7"/>
        <v/>
      </c>
      <c r="R297" s="26" t="s">
        <v>244</v>
      </c>
      <c r="S297" s="21">
        <v>720.63390000000004</v>
      </c>
    </row>
    <row r="298" spans="1:19" x14ac:dyDescent="0.25">
      <c r="A298" s="21">
        <v>297</v>
      </c>
      <c r="B298" s="26" t="s">
        <v>45</v>
      </c>
      <c r="C298" s="26" t="s">
        <v>290</v>
      </c>
      <c r="D298" s="26" t="s">
        <v>45</v>
      </c>
      <c r="E298" s="21">
        <v>235800</v>
      </c>
      <c r="F298" s="21">
        <v>109370</v>
      </c>
      <c r="G298" s="21">
        <v>126430</v>
      </c>
      <c r="H298" s="21">
        <v>37.176490000000001</v>
      </c>
      <c r="I298" s="21">
        <v>-3.5979290000000002</v>
      </c>
      <c r="J298" s="21">
        <v>697.48599999999999</v>
      </c>
      <c r="O298" s="21" t="str">
        <f t="shared" si="7"/>
        <v/>
      </c>
      <c r="R298" s="26" t="s">
        <v>682</v>
      </c>
      <c r="S298" s="21">
        <v>172</v>
      </c>
    </row>
    <row r="299" spans="1:19" x14ac:dyDescent="0.25">
      <c r="A299" s="21">
        <v>298</v>
      </c>
      <c r="B299" s="26" t="s">
        <v>45</v>
      </c>
      <c r="C299" s="26" t="s">
        <v>163</v>
      </c>
      <c r="D299" s="26" t="s">
        <v>557</v>
      </c>
      <c r="E299" s="21">
        <v>1989</v>
      </c>
      <c r="F299" s="21">
        <v>1015</v>
      </c>
      <c r="G299" s="21">
        <v>974</v>
      </c>
      <c r="H299" s="21">
        <v>37.556550000000001</v>
      </c>
      <c r="I299" s="21">
        <v>-3.4007130000000001</v>
      </c>
      <c r="J299" s="21">
        <v>968.34029999999996</v>
      </c>
      <c r="O299" s="21" t="str">
        <f t="shared" si="7"/>
        <v/>
      </c>
      <c r="R299" s="26" t="s">
        <v>759</v>
      </c>
      <c r="S299" s="21">
        <v>319.12369999999999</v>
      </c>
    </row>
    <row r="300" spans="1:19" x14ac:dyDescent="0.25">
      <c r="A300" s="21">
        <v>299</v>
      </c>
      <c r="B300" s="26" t="s">
        <v>45</v>
      </c>
      <c r="C300" s="26" t="s">
        <v>164</v>
      </c>
      <c r="D300" s="26" t="s">
        <v>558</v>
      </c>
      <c r="E300" s="21">
        <v>18928</v>
      </c>
      <c r="F300" s="21">
        <v>9354</v>
      </c>
      <c r="G300" s="21">
        <v>9574</v>
      </c>
      <c r="H300" s="21">
        <v>37.300400000000003</v>
      </c>
      <c r="I300" s="21">
        <v>-3.1345830000000001</v>
      </c>
      <c r="J300" s="21">
        <v>919.40250000000003</v>
      </c>
      <c r="O300" s="21" t="str">
        <f t="shared" si="7"/>
        <v/>
      </c>
      <c r="R300" s="26" t="s">
        <v>546</v>
      </c>
      <c r="S300" s="21">
        <v>873.65359999999998</v>
      </c>
    </row>
    <row r="301" spans="1:19" x14ac:dyDescent="0.25">
      <c r="A301" s="21">
        <v>300</v>
      </c>
      <c r="B301" s="26" t="s">
        <v>45</v>
      </c>
      <c r="C301" s="26" t="s">
        <v>359</v>
      </c>
      <c r="D301" s="26" t="s">
        <v>559</v>
      </c>
      <c r="E301" s="21">
        <v>1087</v>
      </c>
      <c r="F301" s="21">
        <v>572</v>
      </c>
      <c r="G301" s="21">
        <v>515</v>
      </c>
      <c r="H301" s="21">
        <v>36.845680000000002</v>
      </c>
      <c r="I301" s="21">
        <v>-3.61165</v>
      </c>
      <c r="J301" s="21">
        <v>475.60509999999999</v>
      </c>
      <c r="O301" s="21" t="str">
        <f t="shared" ref="O301:O364" si="8">IFERROR(VLOOKUP($O$1,B301:D1073,3,FALSE),"")</f>
        <v/>
      </c>
      <c r="R301" s="26" t="s">
        <v>966</v>
      </c>
      <c r="S301" s="21">
        <v>129.52699999999999</v>
      </c>
    </row>
    <row r="302" spans="1:19" x14ac:dyDescent="0.25">
      <c r="A302" s="21">
        <v>301</v>
      </c>
      <c r="B302" s="26" t="s">
        <v>45</v>
      </c>
      <c r="C302" s="26" t="s">
        <v>169</v>
      </c>
      <c r="D302" s="26" t="s">
        <v>560</v>
      </c>
      <c r="E302" s="21">
        <v>4849</v>
      </c>
      <c r="F302" s="21">
        <v>2477</v>
      </c>
      <c r="G302" s="21">
        <v>2372</v>
      </c>
      <c r="H302" s="21">
        <v>36.743569999999998</v>
      </c>
      <c r="I302" s="21">
        <v>-3.389869</v>
      </c>
      <c r="J302" s="21">
        <v>335.95</v>
      </c>
      <c r="O302" s="21" t="str">
        <f t="shared" si="8"/>
        <v/>
      </c>
      <c r="R302" s="26" t="s">
        <v>431</v>
      </c>
      <c r="S302" s="21">
        <v>391.4622</v>
      </c>
    </row>
    <row r="303" spans="1:19" x14ac:dyDescent="0.25">
      <c r="A303" s="21">
        <v>302</v>
      </c>
      <c r="B303" s="26" t="s">
        <v>45</v>
      </c>
      <c r="C303" s="26" t="s">
        <v>170</v>
      </c>
      <c r="D303" s="26" t="s">
        <v>561</v>
      </c>
      <c r="E303" s="21">
        <v>2953</v>
      </c>
      <c r="F303" s="21">
        <v>1553</v>
      </c>
      <c r="G303" s="21">
        <v>1400</v>
      </c>
      <c r="H303" s="21">
        <v>37.15992</v>
      </c>
      <c r="I303" s="21">
        <v>-3.4386190000000001</v>
      </c>
      <c r="J303" s="21">
        <v>1098.1600000000001</v>
      </c>
      <c r="O303" s="21" t="str">
        <f t="shared" si="8"/>
        <v/>
      </c>
      <c r="R303" s="26" t="s">
        <v>760</v>
      </c>
      <c r="S303" s="21">
        <v>279.35840000000002</v>
      </c>
    </row>
    <row r="304" spans="1:19" x14ac:dyDescent="0.25">
      <c r="A304" s="21">
        <v>303</v>
      </c>
      <c r="B304" s="26" t="s">
        <v>45</v>
      </c>
      <c r="C304" s="26" t="s">
        <v>171</v>
      </c>
      <c r="D304" s="26" t="s">
        <v>562</v>
      </c>
      <c r="E304" s="21">
        <v>2540</v>
      </c>
      <c r="F304" s="21">
        <v>1341</v>
      </c>
      <c r="G304" s="21">
        <v>1199</v>
      </c>
      <c r="H304" s="21">
        <v>37.256979999999999</v>
      </c>
      <c r="I304" s="21">
        <v>-3.5976780000000002</v>
      </c>
      <c r="J304" s="21">
        <v>876.23410000000001</v>
      </c>
      <c r="O304" s="21" t="str">
        <f t="shared" si="8"/>
        <v/>
      </c>
      <c r="R304" s="26" t="s">
        <v>381</v>
      </c>
      <c r="S304" s="21">
        <v>147.471</v>
      </c>
    </row>
    <row r="305" spans="1:19" x14ac:dyDescent="0.25">
      <c r="A305" s="21">
        <v>304</v>
      </c>
      <c r="B305" s="26" t="s">
        <v>45</v>
      </c>
      <c r="C305" s="26" t="s">
        <v>172</v>
      </c>
      <c r="D305" s="26" t="s">
        <v>563</v>
      </c>
      <c r="E305" s="21">
        <v>430</v>
      </c>
      <c r="F305" s="21">
        <v>221</v>
      </c>
      <c r="G305" s="21">
        <v>209</v>
      </c>
      <c r="H305" s="21">
        <v>37.419800000000002</v>
      </c>
      <c r="I305" s="21">
        <v>-3.2601460000000002</v>
      </c>
      <c r="J305" s="21">
        <v>914.9307</v>
      </c>
      <c r="O305" s="21" t="str">
        <f t="shared" si="8"/>
        <v/>
      </c>
      <c r="R305" s="26" t="s">
        <v>432</v>
      </c>
      <c r="S305" s="21">
        <v>548.57079999999996</v>
      </c>
    </row>
    <row r="306" spans="1:19" x14ac:dyDescent="0.25">
      <c r="A306" s="21">
        <v>305</v>
      </c>
      <c r="B306" s="26" t="s">
        <v>45</v>
      </c>
      <c r="C306" s="26" t="s">
        <v>173</v>
      </c>
      <c r="D306" s="26" t="s">
        <v>564</v>
      </c>
      <c r="E306" s="21">
        <v>1168</v>
      </c>
      <c r="F306" s="21">
        <v>618</v>
      </c>
      <c r="G306" s="21">
        <v>550</v>
      </c>
      <c r="H306" s="21">
        <v>37.176929999999999</v>
      </c>
      <c r="I306" s="21">
        <v>-2.9485960000000002</v>
      </c>
      <c r="J306" s="21">
        <v>1155.8499999999999</v>
      </c>
      <c r="O306" s="21" t="str">
        <f t="shared" si="8"/>
        <v/>
      </c>
      <c r="R306" s="26" t="s">
        <v>967</v>
      </c>
      <c r="S306" s="21">
        <v>536.46299999999997</v>
      </c>
    </row>
    <row r="307" spans="1:19" x14ac:dyDescent="0.25">
      <c r="A307" s="21">
        <v>306</v>
      </c>
      <c r="B307" s="26" t="s">
        <v>45</v>
      </c>
      <c r="C307" s="26" t="s">
        <v>175</v>
      </c>
      <c r="D307" s="26" t="s">
        <v>565</v>
      </c>
      <c r="E307" s="21">
        <v>7677</v>
      </c>
      <c r="F307" s="21">
        <v>3790</v>
      </c>
      <c r="G307" s="21">
        <v>3887</v>
      </c>
      <c r="H307" s="21">
        <v>37.809489999999997</v>
      </c>
      <c r="I307" s="21">
        <v>-2.539663</v>
      </c>
      <c r="J307" s="21">
        <v>959.97810000000004</v>
      </c>
      <c r="O307" s="21" t="str">
        <f t="shared" si="8"/>
        <v/>
      </c>
      <c r="R307" s="26" t="s">
        <v>875</v>
      </c>
      <c r="S307" s="21">
        <v>9.6558639999999993</v>
      </c>
    </row>
    <row r="308" spans="1:19" x14ac:dyDescent="0.25">
      <c r="A308" s="21">
        <v>307</v>
      </c>
      <c r="B308" s="26" t="s">
        <v>45</v>
      </c>
      <c r="C308" s="26" t="s">
        <v>174</v>
      </c>
      <c r="D308" s="26" t="s">
        <v>566</v>
      </c>
      <c r="E308" s="21">
        <v>1872</v>
      </c>
      <c r="F308" s="21">
        <v>960</v>
      </c>
      <c r="G308" s="21">
        <v>912</v>
      </c>
      <c r="H308" s="21">
        <v>37.218229999999998</v>
      </c>
      <c r="I308" s="21">
        <v>-3.5173990000000002</v>
      </c>
      <c r="J308" s="21">
        <v>1019.823</v>
      </c>
      <c r="O308" s="21" t="str">
        <f t="shared" si="8"/>
        <v/>
      </c>
      <c r="R308" s="26" t="s">
        <v>876</v>
      </c>
      <c r="S308" s="21">
        <v>632.20320000000004</v>
      </c>
    </row>
    <row r="309" spans="1:19" x14ac:dyDescent="0.25">
      <c r="A309" s="21">
        <v>308</v>
      </c>
      <c r="B309" s="26" t="s">
        <v>45</v>
      </c>
      <c r="C309" s="26" t="s">
        <v>176</v>
      </c>
      <c r="D309" s="26" t="s">
        <v>567</v>
      </c>
      <c r="E309" s="21">
        <v>10147</v>
      </c>
      <c r="F309" s="21">
        <v>5103</v>
      </c>
      <c r="G309" s="21">
        <v>5044</v>
      </c>
      <c r="H309" s="21">
        <v>37.194629999999997</v>
      </c>
      <c r="I309" s="21">
        <v>-4.0471389999999996</v>
      </c>
      <c r="J309" s="21">
        <v>489</v>
      </c>
      <c r="O309" s="21" t="str">
        <f t="shared" si="8"/>
        <v/>
      </c>
      <c r="R309" s="26" t="s">
        <v>245</v>
      </c>
      <c r="S309" s="21">
        <v>822.4271</v>
      </c>
    </row>
    <row r="310" spans="1:19" x14ac:dyDescent="0.25">
      <c r="A310" s="21">
        <v>309</v>
      </c>
      <c r="B310" s="26" t="s">
        <v>45</v>
      </c>
      <c r="C310" s="26" t="s">
        <v>177</v>
      </c>
      <c r="D310" s="26" t="s">
        <v>568</v>
      </c>
      <c r="E310" s="21">
        <v>11849</v>
      </c>
      <c r="F310" s="21">
        <v>5950</v>
      </c>
      <c r="G310" s="21">
        <v>5899</v>
      </c>
      <c r="H310" s="21">
        <v>37.152380000000001</v>
      </c>
      <c r="I310" s="21">
        <v>-3.575904</v>
      </c>
      <c r="J310" s="21">
        <v>739.98670000000004</v>
      </c>
      <c r="O310" s="21" t="str">
        <f t="shared" si="8"/>
        <v/>
      </c>
      <c r="R310" s="26" t="s">
        <v>433</v>
      </c>
      <c r="S310" s="21">
        <v>310.79250000000002</v>
      </c>
    </row>
    <row r="311" spans="1:19" x14ac:dyDescent="0.25">
      <c r="A311" s="21">
        <v>310</v>
      </c>
      <c r="B311" s="26" t="s">
        <v>45</v>
      </c>
      <c r="C311" s="26" t="s">
        <v>178</v>
      </c>
      <c r="D311" s="26" t="s">
        <v>569</v>
      </c>
      <c r="E311" s="21">
        <v>10423</v>
      </c>
      <c r="F311" s="21">
        <v>5203</v>
      </c>
      <c r="G311" s="21">
        <v>5220</v>
      </c>
      <c r="H311" s="21">
        <v>37.288429999999998</v>
      </c>
      <c r="I311" s="21">
        <v>-3.8797820000000001</v>
      </c>
      <c r="J311" s="21">
        <v>775.86890000000005</v>
      </c>
      <c r="O311" s="21" t="str">
        <f t="shared" si="8"/>
        <v/>
      </c>
      <c r="R311" s="26" t="s">
        <v>547</v>
      </c>
      <c r="S311" s="21">
        <v>1267.67</v>
      </c>
    </row>
    <row r="312" spans="1:19" x14ac:dyDescent="0.25">
      <c r="A312" s="21">
        <v>311</v>
      </c>
      <c r="B312" s="26" t="s">
        <v>45</v>
      </c>
      <c r="C312" s="26" t="s">
        <v>179</v>
      </c>
      <c r="D312" s="26" t="s">
        <v>570</v>
      </c>
      <c r="E312" s="21">
        <v>1018</v>
      </c>
      <c r="F312" s="21">
        <v>511</v>
      </c>
      <c r="G312" s="21">
        <v>507</v>
      </c>
      <c r="H312" s="21">
        <v>36.799480000000003</v>
      </c>
      <c r="I312" s="21">
        <v>-3.6387109999999998</v>
      </c>
      <c r="J312" s="21">
        <v>384.31029999999998</v>
      </c>
      <c r="O312" s="21" t="str">
        <f t="shared" si="8"/>
        <v/>
      </c>
      <c r="R312" s="26" t="s">
        <v>246</v>
      </c>
      <c r="S312" s="21">
        <v>448.70179999999999</v>
      </c>
    </row>
    <row r="313" spans="1:19" x14ac:dyDescent="0.25">
      <c r="A313" s="21">
        <v>312</v>
      </c>
      <c r="B313" s="26" t="s">
        <v>45</v>
      </c>
      <c r="C313" s="26" t="s">
        <v>181</v>
      </c>
      <c r="D313" s="26" t="s">
        <v>571</v>
      </c>
      <c r="E313" s="21">
        <v>6016</v>
      </c>
      <c r="F313" s="21">
        <v>3086</v>
      </c>
      <c r="G313" s="21">
        <v>2930</v>
      </c>
      <c r="H313" s="21">
        <v>37.392699999999998</v>
      </c>
      <c r="I313" s="21">
        <v>-3.527549</v>
      </c>
      <c r="J313" s="21">
        <v>816.33540000000005</v>
      </c>
      <c r="O313" s="21" t="str">
        <f t="shared" si="8"/>
        <v/>
      </c>
      <c r="R313" s="26" t="s">
        <v>247</v>
      </c>
      <c r="S313" s="21">
        <v>950.41629999999998</v>
      </c>
    </row>
    <row r="314" spans="1:19" x14ac:dyDescent="0.25">
      <c r="A314" s="21">
        <v>313</v>
      </c>
      <c r="B314" s="26" t="s">
        <v>45</v>
      </c>
      <c r="C314" s="26" t="s">
        <v>182</v>
      </c>
      <c r="D314" s="26" t="s">
        <v>572</v>
      </c>
      <c r="E314" s="21">
        <v>1178</v>
      </c>
      <c r="F314" s="21">
        <v>595</v>
      </c>
      <c r="G314" s="21">
        <v>583</v>
      </c>
      <c r="H314" s="21">
        <v>36.948830000000001</v>
      </c>
      <c r="I314" s="21">
        <v>-3.8228070000000001</v>
      </c>
      <c r="J314" s="21">
        <v>911.83920000000001</v>
      </c>
      <c r="O314" s="21" t="str">
        <f t="shared" si="8"/>
        <v/>
      </c>
      <c r="R314" s="26" t="s">
        <v>248</v>
      </c>
      <c r="S314" s="21">
        <v>858.46969999999999</v>
      </c>
    </row>
    <row r="315" spans="1:19" x14ac:dyDescent="0.25">
      <c r="A315" s="21">
        <v>314</v>
      </c>
      <c r="B315" s="26" t="s">
        <v>45</v>
      </c>
      <c r="C315" s="26" t="s">
        <v>309</v>
      </c>
      <c r="D315" s="26" t="s">
        <v>573</v>
      </c>
      <c r="E315" s="21">
        <v>1021</v>
      </c>
      <c r="F315" s="21">
        <v>525</v>
      </c>
      <c r="G315" s="21">
        <v>496</v>
      </c>
      <c r="H315" s="21">
        <v>37.18385</v>
      </c>
      <c r="I315" s="21">
        <v>-3.159872</v>
      </c>
      <c r="J315" s="21">
        <v>1237.271</v>
      </c>
      <c r="O315" s="21" t="str">
        <f t="shared" si="8"/>
        <v/>
      </c>
      <c r="R315" s="26" t="s">
        <v>548</v>
      </c>
      <c r="S315" s="21">
        <v>785.62040000000002</v>
      </c>
    </row>
    <row r="316" spans="1:19" x14ac:dyDescent="0.25">
      <c r="A316" s="21">
        <v>315</v>
      </c>
      <c r="B316" s="26" t="s">
        <v>45</v>
      </c>
      <c r="C316" s="26" t="s">
        <v>183</v>
      </c>
      <c r="D316" s="26" t="s">
        <v>574</v>
      </c>
      <c r="E316" s="21">
        <v>908</v>
      </c>
      <c r="F316" s="21">
        <v>466</v>
      </c>
      <c r="G316" s="21">
        <v>442</v>
      </c>
      <c r="H316" s="21">
        <v>36.797319999999999</v>
      </c>
      <c r="I316" s="21">
        <v>-3.6681509999999999</v>
      </c>
      <c r="J316" s="21">
        <v>134.28039999999999</v>
      </c>
      <c r="O316" s="21" t="str">
        <f t="shared" si="8"/>
        <v/>
      </c>
      <c r="R316" s="26" t="s">
        <v>761</v>
      </c>
      <c r="S316" s="21">
        <v>965.38210000000004</v>
      </c>
    </row>
    <row r="317" spans="1:19" x14ac:dyDescent="0.25">
      <c r="A317" s="21">
        <v>316</v>
      </c>
      <c r="B317" s="26" t="s">
        <v>45</v>
      </c>
      <c r="C317" s="26" t="s">
        <v>184</v>
      </c>
      <c r="D317" s="26" t="s">
        <v>575</v>
      </c>
      <c r="E317" s="21">
        <v>3620</v>
      </c>
      <c r="F317" s="21">
        <v>1842</v>
      </c>
      <c r="G317" s="21">
        <v>1778</v>
      </c>
      <c r="H317" s="21">
        <v>37.220640000000003</v>
      </c>
      <c r="I317" s="21">
        <v>-3.59443</v>
      </c>
      <c r="J317" s="21">
        <v>763.61080000000004</v>
      </c>
      <c r="O317" s="21" t="str">
        <f t="shared" si="8"/>
        <v/>
      </c>
      <c r="R317" s="26" t="s">
        <v>549</v>
      </c>
      <c r="S317" s="21">
        <v>824.41690000000006</v>
      </c>
    </row>
    <row r="318" spans="1:19" x14ac:dyDescent="0.25">
      <c r="A318" s="21">
        <v>317</v>
      </c>
      <c r="B318" s="26" t="s">
        <v>45</v>
      </c>
      <c r="C318" s="26" t="s">
        <v>185</v>
      </c>
      <c r="D318" s="26" t="s">
        <v>576</v>
      </c>
      <c r="E318" s="21">
        <v>153</v>
      </c>
      <c r="F318" s="21">
        <v>72</v>
      </c>
      <c r="G318" s="21">
        <v>81</v>
      </c>
      <c r="H318" s="21">
        <v>36.948250000000002</v>
      </c>
      <c r="I318" s="21">
        <v>-3.2257880000000001</v>
      </c>
      <c r="J318" s="21">
        <v>1258.52</v>
      </c>
      <c r="O318" s="21" t="str">
        <f t="shared" si="8"/>
        <v/>
      </c>
      <c r="R318" s="26" t="s">
        <v>877</v>
      </c>
      <c r="S318" s="21">
        <v>326.02659999999997</v>
      </c>
    </row>
    <row r="319" spans="1:19" x14ac:dyDescent="0.25">
      <c r="A319" s="21">
        <v>318</v>
      </c>
      <c r="B319" s="26" t="s">
        <v>45</v>
      </c>
      <c r="C319" s="26" t="s">
        <v>187</v>
      </c>
      <c r="D319" s="26" t="s">
        <v>577</v>
      </c>
      <c r="E319" s="21">
        <v>3263</v>
      </c>
      <c r="F319" s="21">
        <v>1666</v>
      </c>
      <c r="G319" s="21">
        <v>1597</v>
      </c>
      <c r="H319" s="21">
        <v>37.195079999999997</v>
      </c>
      <c r="I319" s="21">
        <v>-3.8340640000000001</v>
      </c>
      <c r="J319" s="21">
        <v>559.71479999999997</v>
      </c>
      <c r="O319" s="21" t="str">
        <f t="shared" si="8"/>
        <v/>
      </c>
      <c r="R319" s="26" t="s">
        <v>878</v>
      </c>
      <c r="S319" s="21">
        <v>9.7021829999999998</v>
      </c>
    </row>
    <row r="320" spans="1:19" x14ac:dyDescent="0.25">
      <c r="A320" s="21">
        <v>319</v>
      </c>
      <c r="B320" s="26" t="s">
        <v>45</v>
      </c>
      <c r="C320" s="26" t="s">
        <v>188</v>
      </c>
      <c r="D320" s="26" t="s">
        <v>578</v>
      </c>
      <c r="E320" s="21">
        <v>3715</v>
      </c>
      <c r="F320" s="21">
        <v>1838</v>
      </c>
      <c r="G320" s="21">
        <v>1877</v>
      </c>
      <c r="H320" s="21">
        <v>36.918059999999997</v>
      </c>
      <c r="I320" s="21">
        <v>-3.4804879999999998</v>
      </c>
      <c r="J320" s="21">
        <v>662.30859999999996</v>
      </c>
      <c r="O320" s="21" t="str">
        <f t="shared" si="8"/>
        <v/>
      </c>
      <c r="R320" s="26" t="s">
        <v>762</v>
      </c>
      <c r="S320" s="21">
        <v>739.03269999999998</v>
      </c>
    </row>
    <row r="321" spans="1:19" x14ac:dyDescent="0.25">
      <c r="A321" s="21">
        <v>320</v>
      </c>
      <c r="B321" s="26" t="s">
        <v>45</v>
      </c>
      <c r="C321" s="26" t="s">
        <v>192</v>
      </c>
      <c r="D321" s="26" t="s">
        <v>579</v>
      </c>
      <c r="E321" s="21">
        <v>546</v>
      </c>
      <c r="F321" s="21">
        <v>286</v>
      </c>
      <c r="G321" s="21">
        <v>260</v>
      </c>
      <c r="H321" s="21">
        <v>37.168900000000001</v>
      </c>
      <c r="I321" s="21">
        <v>-3.1385510000000001</v>
      </c>
      <c r="J321" s="21">
        <v>1279.6179999999999</v>
      </c>
      <c r="O321" s="21" t="str">
        <f t="shared" si="8"/>
        <v/>
      </c>
      <c r="R321" s="26" t="s">
        <v>879</v>
      </c>
      <c r="S321" s="21">
        <v>444.60660000000001</v>
      </c>
    </row>
    <row r="322" spans="1:19" x14ac:dyDescent="0.25">
      <c r="A322" s="21">
        <v>321</v>
      </c>
      <c r="B322" s="26" t="s">
        <v>45</v>
      </c>
      <c r="C322" s="26" t="s">
        <v>193</v>
      </c>
      <c r="D322" s="26" t="s">
        <v>580</v>
      </c>
      <c r="E322" s="21">
        <v>2138</v>
      </c>
      <c r="F322" s="21">
        <v>1083</v>
      </c>
      <c r="G322" s="21">
        <v>1055</v>
      </c>
      <c r="H322" s="21">
        <v>36.947699999999998</v>
      </c>
      <c r="I322" s="21">
        <v>-3.5503819999999999</v>
      </c>
      <c r="J322" s="21">
        <v>705.31489999999997</v>
      </c>
      <c r="O322" s="21" t="str">
        <f t="shared" si="8"/>
        <v/>
      </c>
      <c r="R322" s="26" t="s">
        <v>434</v>
      </c>
      <c r="S322" s="21">
        <v>559.99540000000002</v>
      </c>
    </row>
    <row r="323" spans="1:19" x14ac:dyDescent="0.25">
      <c r="A323" s="21">
        <v>322</v>
      </c>
      <c r="B323" s="26" t="s">
        <v>45</v>
      </c>
      <c r="C323" s="26" t="s">
        <v>190</v>
      </c>
      <c r="D323" s="26" t="s">
        <v>581</v>
      </c>
      <c r="E323" s="21">
        <v>346</v>
      </c>
      <c r="F323" s="21">
        <v>183</v>
      </c>
      <c r="G323" s="21">
        <v>163</v>
      </c>
      <c r="H323" s="21">
        <v>36.834299999999999</v>
      </c>
      <c r="I323" s="21">
        <v>-3.6744490000000001</v>
      </c>
      <c r="J323" s="21">
        <v>638.01279999999997</v>
      </c>
      <c r="O323" s="21" t="str">
        <f t="shared" si="8"/>
        <v/>
      </c>
      <c r="R323" s="26" t="s">
        <v>435</v>
      </c>
      <c r="S323" s="21">
        <v>622.74980000000005</v>
      </c>
    </row>
    <row r="324" spans="1:19" x14ac:dyDescent="0.25">
      <c r="A324" s="21">
        <v>323</v>
      </c>
      <c r="B324" s="26" t="s">
        <v>45</v>
      </c>
      <c r="C324" s="26" t="s">
        <v>194</v>
      </c>
      <c r="D324" s="26" t="s">
        <v>582</v>
      </c>
      <c r="E324" s="21">
        <v>166</v>
      </c>
      <c r="F324" s="21">
        <v>84</v>
      </c>
      <c r="G324" s="21">
        <v>82</v>
      </c>
      <c r="H324" s="21">
        <v>36.927860000000003</v>
      </c>
      <c r="I324" s="21">
        <v>-3.2123059999999999</v>
      </c>
      <c r="J324" s="21">
        <v>917.72360000000003</v>
      </c>
      <c r="O324" s="21" t="str">
        <f t="shared" si="8"/>
        <v/>
      </c>
      <c r="R324" s="26" t="s">
        <v>436</v>
      </c>
      <c r="S324" s="21">
        <v>160.0771</v>
      </c>
    </row>
    <row r="325" spans="1:19" x14ac:dyDescent="0.25">
      <c r="A325" s="21">
        <v>324</v>
      </c>
      <c r="B325" s="26" t="s">
        <v>45</v>
      </c>
      <c r="C325" s="26" t="s">
        <v>191</v>
      </c>
      <c r="D325" s="26" t="s">
        <v>583</v>
      </c>
      <c r="E325" s="21">
        <v>20893</v>
      </c>
      <c r="F325" s="21">
        <v>10475</v>
      </c>
      <c r="G325" s="21">
        <v>10418</v>
      </c>
      <c r="H325" s="21">
        <v>37.168840000000003</v>
      </c>
      <c r="I325" s="21">
        <v>-4.1514709999999999</v>
      </c>
      <c r="J325" s="21">
        <v>456.73110000000003</v>
      </c>
      <c r="O325" s="21" t="str">
        <f t="shared" si="8"/>
        <v/>
      </c>
      <c r="R325" s="26" t="s">
        <v>550</v>
      </c>
      <c r="S325" s="21">
        <v>545.4914</v>
      </c>
    </row>
    <row r="326" spans="1:19" x14ac:dyDescent="0.25">
      <c r="A326" s="21">
        <v>325</v>
      </c>
      <c r="B326" s="26" t="s">
        <v>45</v>
      </c>
      <c r="C326" s="26" t="s">
        <v>195</v>
      </c>
      <c r="D326" s="26" t="s">
        <v>584</v>
      </c>
      <c r="E326" s="21">
        <v>320</v>
      </c>
      <c r="F326" s="21">
        <v>176</v>
      </c>
      <c r="G326" s="21">
        <v>144</v>
      </c>
      <c r="H326" s="21">
        <v>37.230690000000003</v>
      </c>
      <c r="I326" s="21">
        <v>-3.2409089999999998</v>
      </c>
      <c r="J326" s="21">
        <v>1241.42</v>
      </c>
      <c r="O326" s="21" t="str">
        <f t="shared" si="8"/>
        <v/>
      </c>
      <c r="R326" s="26" t="s">
        <v>683</v>
      </c>
      <c r="S326" s="21">
        <v>711.65279999999996</v>
      </c>
    </row>
    <row r="327" spans="1:19" x14ac:dyDescent="0.25">
      <c r="A327" s="21">
        <v>326</v>
      </c>
      <c r="B327" s="26" t="s">
        <v>45</v>
      </c>
      <c r="C327" s="26" t="s">
        <v>196</v>
      </c>
      <c r="D327" s="26" t="s">
        <v>585</v>
      </c>
      <c r="E327" s="21">
        <v>517</v>
      </c>
      <c r="F327" s="21">
        <v>274</v>
      </c>
      <c r="G327" s="21">
        <v>243</v>
      </c>
      <c r="H327" s="21">
        <v>36.787550000000003</v>
      </c>
      <c r="I327" s="21">
        <v>-3.4016510000000002</v>
      </c>
      <c r="J327" s="21">
        <v>509.90370000000001</v>
      </c>
      <c r="O327" s="21" t="str">
        <f t="shared" si="8"/>
        <v/>
      </c>
      <c r="R327" s="26" t="s">
        <v>968</v>
      </c>
      <c r="S327" s="21">
        <v>181.6506</v>
      </c>
    </row>
    <row r="328" spans="1:19" x14ac:dyDescent="0.25">
      <c r="A328" s="21">
        <v>327</v>
      </c>
      <c r="B328" s="26" t="s">
        <v>45</v>
      </c>
      <c r="C328" s="26" t="s">
        <v>310</v>
      </c>
      <c r="D328" s="26" t="s">
        <v>586</v>
      </c>
      <c r="E328" s="21">
        <v>1834</v>
      </c>
      <c r="F328" s="21">
        <v>918</v>
      </c>
      <c r="G328" s="21">
        <v>916</v>
      </c>
      <c r="H328" s="21">
        <v>37.101460000000003</v>
      </c>
      <c r="I328" s="21">
        <v>-3.722502</v>
      </c>
      <c r="J328" s="21">
        <v>709.61599999999999</v>
      </c>
      <c r="O328" s="21" t="str">
        <f t="shared" si="8"/>
        <v/>
      </c>
      <c r="R328" s="26" t="s">
        <v>437</v>
      </c>
      <c r="S328" s="21">
        <v>589.32119999999998</v>
      </c>
    </row>
    <row r="329" spans="1:19" x14ac:dyDescent="0.25">
      <c r="A329" s="21">
        <v>328</v>
      </c>
      <c r="B329" s="26" t="s">
        <v>45</v>
      </c>
      <c r="C329" s="26" t="s">
        <v>197</v>
      </c>
      <c r="D329" s="26" t="s">
        <v>587</v>
      </c>
      <c r="E329" s="21">
        <v>21816</v>
      </c>
      <c r="F329" s="21">
        <v>10743</v>
      </c>
      <c r="G329" s="21">
        <v>11073</v>
      </c>
      <c r="H329" s="21">
        <v>37.205680000000001</v>
      </c>
      <c r="I329" s="21">
        <v>-3.6368049999999998</v>
      </c>
      <c r="J329" s="21">
        <v>649.40020000000004</v>
      </c>
      <c r="O329" s="21" t="str">
        <f t="shared" si="8"/>
        <v/>
      </c>
      <c r="R329" s="26" t="s">
        <v>763</v>
      </c>
      <c r="S329" s="21">
        <v>436.62720000000002</v>
      </c>
    </row>
    <row r="330" spans="1:19" x14ac:dyDescent="0.25">
      <c r="A330" s="21">
        <v>329</v>
      </c>
      <c r="B330" s="26" t="s">
        <v>45</v>
      </c>
      <c r="C330" s="26" t="s">
        <v>198</v>
      </c>
      <c r="D330" s="26" t="s">
        <v>588</v>
      </c>
      <c r="E330" s="21">
        <v>427</v>
      </c>
      <c r="F330" s="21">
        <v>198</v>
      </c>
      <c r="G330" s="21">
        <v>229</v>
      </c>
      <c r="H330" s="21">
        <v>37.296199999999999</v>
      </c>
      <c r="I330" s="21">
        <v>-3.2023229999999998</v>
      </c>
      <c r="J330" s="21">
        <v>926.44759999999997</v>
      </c>
      <c r="O330" s="21" t="str">
        <f t="shared" si="8"/>
        <v/>
      </c>
      <c r="R330" s="26" t="s">
        <v>551</v>
      </c>
      <c r="S330" s="21">
        <v>703.1069</v>
      </c>
    </row>
    <row r="331" spans="1:19" x14ac:dyDescent="0.25">
      <c r="A331" s="21">
        <v>330</v>
      </c>
      <c r="B331" s="26" t="s">
        <v>45</v>
      </c>
      <c r="C331" s="26" t="s">
        <v>199</v>
      </c>
      <c r="D331" s="26" t="s">
        <v>589</v>
      </c>
      <c r="E331" s="21">
        <v>3976</v>
      </c>
      <c r="F331" s="21">
        <v>1971</v>
      </c>
      <c r="G331" s="21">
        <v>2005</v>
      </c>
      <c r="H331" s="21">
        <v>37.34158</v>
      </c>
      <c r="I331" s="21">
        <v>-3.786422</v>
      </c>
      <c r="J331" s="21">
        <v>1061.0820000000001</v>
      </c>
      <c r="O331" s="21" t="str">
        <f t="shared" si="8"/>
        <v/>
      </c>
      <c r="R331" s="26" t="s">
        <v>249</v>
      </c>
      <c r="S331" s="21">
        <v>169.00040000000001</v>
      </c>
    </row>
    <row r="332" spans="1:19" x14ac:dyDescent="0.25">
      <c r="A332" s="21">
        <v>331</v>
      </c>
      <c r="B332" s="26" t="s">
        <v>45</v>
      </c>
      <c r="C332" s="26" t="s">
        <v>200</v>
      </c>
      <c r="D332" s="26" t="s">
        <v>590</v>
      </c>
      <c r="E332" s="21">
        <v>2895</v>
      </c>
      <c r="F332" s="21">
        <v>1473</v>
      </c>
      <c r="G332" s="21">
        <v>1422</v>
      </c>
      <c r="H332" s="21">
        <v>36.78689</v>
      </c>
      <c r="I332" s="21">
        <v>-3.6075179999999998</v>
      </c>
      <c r="J332" s="21">
        <v>239.2467</v>
      </c>
      <c r="O332" s="21" t="str">
        <f t="shared" si="8"/>
        <v/>
      </c>
      <c r="R332" s="26" t="s">
        <v>684</v>
      </c>
      <c r="S332" s="21">
        <v>562.19629999999995</v>
      </c>
    </row>
    <row r="333" spans="1:19" x14ac:dyDescent="0.25">
      <c r="A333" s="21">
        <v>332</v>
      </c>
      <c r="B333" s="26" t="s">
        <v>45</v>
      </c>
      <c r="C333" s="26" t="s">
        <v>201</v>
      </c>
      <c r="D333" s="26" t="s">
        <v>591</v>
      </c>
      <c r="E333" s="21">
        <v>7538</v>
      </c>
      <c r="F333" s="21">
        <v>3900</v>
      </c>
      <c r="G333" s="21">
        <v>3638</v>
      </c>
      <c r="H333" s="21">
        <v>37.132089999999998</v>
      </c>
      <c r="I333" s="21">
        <v>-3.539469</v>
      </c>
      <c r="J333" s="21">
        <v>811.2473</v>
      </c>
      <c r="O333" s="21" t="str">
        <f t="shared" si="8"/>
        <v/>
      </c>
      <c r="R333" s="26" t="s">
        <v>552</v>
      </c>
      <c r="S333" s="21">
        <v>837.2482</v>
      </c>
    </row>
    <row r="334" spans="1:19" x14ac:dyDescent="0.25">
      <c r="A334" s="21">
        <v>333</v>
      </c>
      <c r="B334" s="26" t="s">
        <v>45</v>
      </c>
      <c r="C334" s="26" t="s">
        <v>204</v>
      </c>
      <c r="D334" s="26" t="s">
        <v>592</v>
      </c>
      <c r="E334" s="21">
        <v>5720</v>
      </c>
      <c r="F334" s="21">
        <v>2872</v>
      </c>
      <c r="G334" s="21">
        <v>2848</v>
      </c>
      <c r="H334" s="21">
        <v>37.320970000000003</v>
      </c>
      <c r="I334" s="21">
        <v>-4.0113640000000004</v>
      </c>
      <c r="J334" s="21">
        <v>835.13610000000006</v>
      </c>
      <c r="O334" s="21" t="str">
        <f t="shared" si="8"/>
        <v/>
      </c>
      <c r="R334" s="26" t="s">
        <v>250</v>
      </c>
      <c r="S334" s="21">
        <v>113.9905</v>
      </c>
    </row>
    <row r="335" spans="1:19" x14ac:dyDescent="0.25">
      <c r="A335" s="21">
        <v>334</v>
      </c>
      <c r="B335" s="26" t="s">
        <v>45</v>
      </c>
      <c r="C335" s="26" t="s">
        <v>202</v>
      </c>
      <c r="D335" s="26" t="s">
        <v>593</v>
      </c>
      <c r="E335" s="21">
        <v>2230</v>
      </c>
      <c r="F335" s="21">
        <v>1139</v>
      </c>
      <c r="G335" s="21">
        <v>1091</v>
      </c>
      <c r="H335" s="21">
        <v>37.571959999999997</v>
      </c>
      <c r="I335" s="21">
        <v>-3.5047000000000001</v>
      </c>
      <c r="J335" s="21">
        <v>1145.2940000000001</v>
      </c>
      <c r="O335" s="21" t="str">
        <f t="shared" si="8"/>
        <v/>
      </c>
      <c r="R335" s="26" t="s">
        <v>969</v>
      </c>
      <c r="S335" s="21">
        <v>269.61070000000001</v>
      </c>
    </row>
    <row r="336" spans="1:19" x14ac:dyDescent="0.25">
      <c r="A336" s="21">
        <v>335</v>
      </c>
      <c r="B336" s="26" t="s">
        <v>45</v>
      </c>
      <c r="C336" s="26" t="s">
        <v>203</v>
      </c>
      <c r="D336" s="26" t="s">
        <v>594</v>
      </c>
      <c r="E336" s="21">
        <v>1330</v>
      </c>
      <c r="F336" s="21">
        <v>703</v>
      </c>
      <c r="G336" s="21">
        <v>627</v>
      </c>
      <c r="H336" s="21">
        <v>37.501269999999998</v>
      </c>
      <c r="I336" s="21">
        <v>-3.6724230000000002</v>
      </c>
      <c r="J336" s="21">
        <v>1019.378</v>
      </c>
      <c r="O336" s="21" t="str">
        <f t="shared" si="8"/>
        <v/>
      </c>
      <c r="R336" s="26" t="s">
        <v>251</v>
      </c>
      <c r="S336" s="21">
        <v>2.5661499999999999</v>
      </c>
    </row>
    <row r="337" spans="1:19" x14ac:dyDescent="0.25">
      <c r="A337" s="21">
        <v>336</v>
      </c>
      <c r="B337" s="26" t="s">
        <v>45</v>
      </c>
      <c r="C337" s="26" t="s">
        <v>205</v>
      </c>
      <c r="D337" s="26" t="s">
        <v>595</v>
      </c>
      <c r="E337" s="21">
        <v>3200</v>
      </c>
      <c r="F337" s="21">
        <v>1629</v>
      </c>
      <c r="G337" s="21">
        <v>1571</v>
      </c>
      <c r="H337" s="21">
        <v>37.16977</v>
      </c>
      <c r="I337" s="21">
        <v>-3.965147</v>
      </c>
      <c r="J337" s="21">
        <v>621.86339999999996</v>
      </c>
      <c r="O337" s="21" t="str">
        <f t="shared" si="8"/>
        <v/>
      </c>
      <c r="R337" s="26" t="s">
        <v>382</v>
      </c>
      <c r="S337" s="21">
        <v>600.30219999999997</v>
      </c>
    </row>
    <row r="338" spans="1:19" x14ac:dyDescent="0.25">
      <c r="A338" s="21">
        <v>337</v>
      </c>
      <c r="B338" s="26" t="s">
        <v>45</v>
      </c>
      <c r="C338" s="26" t="s">
        <v>363</v>
      </c>
      <c r="D338" s="26" t="s">
        <v>596</v>
      </c>
      <c r="E338" s="21">
        <v>693</v>
      </c>
      <c r="F338" s="21">
        <v>373</v>
      </c>
      <c r="G338" s="21">
        <v>320</v>
      </c>
      <c r="H338" s="21">
        <v>37.431109999999997</v>
      </c>
      <c r="I338" s="21">
        <v>-3.3102779999999998</v>
      </c>
      <c r="J338" s="21">
        <v>1023.947</v>
      </c>
      <c r="O338" s="21" t="str">
        <f t="shared" si="8"/>
        <v/>
      </c>
      <c r="R338" s="26" t="s">
        <v>880</v>
      </c>
      <c r="S338" s="21">
        <v>609.39610000000005</v>
      </c>
    </row>
    <row r="339" spans="1:19" x14ac:dyDescent="0.25">
      <c r="A339" s="21">
        <v>338</v>
      </c>
      <c r="B339" s="26" t="s">
        <v>45</v>
      </c>
      <c r="C339" s="26" t="s">
        <v>206</v>
      </c>
      <c r="D339" s="26" t="s">
        <v>597</v>
      </c>
      <c r="E339" s="21">
        <v>60777</v>
      </c>
      <c r="F339" s="21">
        <v>29914</v>
      </c>
      <c r="G339" s="21">
        <v>30863</v>
      </c>
      <c r="H339" s="21">
        <v>36.744669999999999</v>
      </c>
      <c r="I339" s="21">
        <v>-3.516718</v>
      </c>
      <c r="J339" s="21">
        <v>41.484369999999998</v>
      </c>
      <c r="O339" s="21" t="str">
        <f t="shared" si="8"/>
        <v/>
      </c>
      <c r="R339" s="26" t="s">
        <v>970</v>
      </c>
      <c r="S339" s="21">
        <v>9.0876789999999996</v>
      </c>
    </row>
    <row r="340" spans="1:19" x14ac:dyDescent="0.25">
      <c r="A340" s="21">
        <v>339</v>
      </c>
      <c r="B340" s="26" t="s">
        <v>45</v>
      </c>
      <c r="C340" s="26" t="s">
        <v>311</v>
      </c>
      <c r="D340" s="26" t="s">
        <v>598</v>
      </c>
      <c r="E340" s="21">
        <v>524</v>
      </c>
      <c r="F340" s="21">
        <v>301</v>
      </c>
      <c r="G340" s="21">
        <v>223</v>
      </c>
      <c r="H340" s="21">
        <v>36.887369999999997</v>
      </c>
      <c r="I340" s="21">
        <v>-3.1089709999999999</v>
      </c>
      <c r="J340" s="21">
        <v>1134.923</v>
      </c>
      <c r="O340" s="21" t="str">
        <f t="shared" si="8"/>
        <v/>
      </c>
      <c r="R340" s="26" t="s">
        <v>881</v>
      </c>
      <c r="S340" s="21">
        <v>508.32510000000002</v>
      </c>
    </row>
    <row r="341" spans="1:19" x14ac:dyDescent="0.25">
      <c r="A341" s="21">
        <v>340</v>
      </c>
      <c r="B341" s="26" t="s">
        <v>45</v>
      </c>
      <c r="C341" s="26" t="s">
        <v>165</v>
      </c>
      <c r="D341" s="26" t="s">
        <v>599</v>
      </c>
      <c r="E341" s="21">
        <v>1123</v>
      </c>
      <c r="F341" s="21">
        <v>574</v>
      </c>
      <c r="G341" s="21">
        <v>549</v>
      </c>
      <c r="H341" s="21">
        <v>37</v>
      </c>
      <c r="I341" s="21">
        <v>-3.016667</v>
      </c>
      <c r="J341" s="21">
        <v>792.31259999999997</v>
      </c>
      <c r="O341" s="21" t="str">
        <f t="shared" si="8"/>
        <v/>
      </c>
      <c r="R341" s="26" t="s">
        <v>764</v>
      </c>
      <c r="S341" s="21">
        <v>828.01419999999996</v>
      </c>
    </row>
    <row r="342" spans="1:19" x14ac:dyDescent="0.25">
      <c r="A342" s="21">
        <v>341</v>
      </c>
      <c r="B342" s="26" t="s">
        <v>45</v>
      </c>
      <c r="C342" s="26" t="s">
        <v>312</v>
      </c>
      <c r="D342" s="26" t="s">
        <v>600</v>
      </c>
      <c r="E342" s="21">
        <v>1214</v>
      </c>
      <c r="F342" s="21">
        <v>616</v>
      </c>
      <c r="G342" s="21">
        <v>598</v>
      </c>
      <c r="H342" s="21">
        <v>36.977409999999999</v>
      </c>
      <c r="I342" s="21">
        <v>-3.5393189999999999</v>
      </c>
      <c r="J342" s="21">
        <v>927.87860000000001</v>
      </c>
      <c r="O342" s="21" t="str">
        <f t="shared" si="8"/>
        <v/>
      </c>
      <c r="R342" s="26" t="s">
        <v>971</v>
      </c>
      <c r="S342" s="21">
        <v>91.187669999999997</v>
      </c>
    </row>
    <row r="343" spans="1:19" x14ac:dyDescent="0.25">
      <c r="A343" s="21">
        <v>342</v>
      </c>
      <c r="B343" s="26" t="s">
        <v>45</v>
      </c>
      <c r="C343" s="26" t="s">
        <v>313</v>
      </c>
      <c r="D343" s="26" t="s">
        <v>601</v>
      </c>
      <c r="E343" s="21">
        <v>922</v>
      </c>
      <c r="F343" s="21">
        <v>476</v>
      </c>
      <c r="G343" s="21">
        <v>446</v>
      </c>
      <c r="H343" s="21">
        <v>37.257939999999998</v>
      </c>
      <c r="I343" s="21">
        <v>-3.5779179999999999</v>
      </c>
      <c r="J343" s="21">
        <v>1038.0309999999999</v>
      </c>
      <c r="O343" s="21" t="str">
        <f t="shared" si="8"/>
        <v/>
      </c>
      <c r="R343" s="26" t="s">
        <v>252</v>
      </c>
      <c r="S343" s="21">
        <v>750.5009</v>
      </c>
    </row>
    <row r="344" spans="1:19" x14ac:dyDescent="0.25">
      <c r="A344" s="21">
        <v>343</v>
      </c>
      <c r="B344" s="26" t="s">
        <v>45</v>
      </c>
      <c r="C344" s="26" t="s">
        <v>314</v>
      </c>
      <c r="D344" s="26" t="s">
        <v>602</v>
      </c>
      <c r="E344" s="21">
        <v>13719</v>
      </c>
      <c r="F344" s="21">
        <v>6775</v>
      </c>
      <c r="G344" s="21">
        <v>6944</v>
      </c>
      <c r="H344" s="21">
        <v>37.119909999999997</v>
      </c>
      <c r="I344" s="21">
        <v>-3.6079370000000002</v>
      </c>
      <c r="J344" s="21">
        <v>721.77369999999996</v>
      </c>
      <c r="O344" s="21" t="str">
        <f t="shared" si="8"/>
        <v/>
      </c>
      <c r="R344" s="26" t="s">
        <v>685</v>
      </c>
      <c r="S344" s="21">
        <v>29.216069999999998</v>
      </c>
    </row>
    <row r="345" spans="1:19" x14ac:dyDescent="0.25">
      <c r="A345" s="21">
        <v>344</v>
      </c>
      <c r="B345" s="26" t="s">
        <v>45</v>
      </c>
      <c r="C345" s="26" t="s">
        <v>354</v>
      </c>
      <c r="D345" s="26" t="s">
        <v>603</v>
      </c>
      <c r="E345" s="21">
        <v>1226</v>
      </c>
      <c r="F345" s="21">
        <v>633</v>
      </c>
      <c r="G345" s="21">
        <v>593</v>
      </c>
      <c r="H345" s="21">
        <v>37.721409999999999</v>
      </c>
      <c r="I345" s="21">
        <v>-2.4794510000000001</v>
      </c>
      <c r="J345" s="21">
        <v>932.2527</v>
      </c>
      <c r="O345" s="21" t="str">
        <f t="shared" si="8"/>
        <v/>
      </c>
      <c r="R345" s="26" t="s">
        <v>972</v>
      </c>
      <c r="S345" s="21">
        <v>466</v>
      </c>
    </row>
    <row r="346" spans="1:19" x14ac:dyDescent="0.25">
      <c r="A346" s="21">
        <v>345</v>
      </c>
      <c r="B346" s="26" t="s">
        <v>45</v>
      </c>
      <c r="C346" s="26" t="s">
        <v>316</v>
      </c>
      <c r="D346" s="26" t="s">
        <v>604</v>
      </c>
      <c r="E346" s="21">
        <v>5483</v>
      </c>
      <c r="F346" s="21">
        <v>2752</v>
      </c>
      <c r="G346" s="21">
        <v>2731</v>
      </c>
      <c r="H346" s="21">
        <v>36.902239999999999</v>
      </c>
      <c r="I346" s="21">
        <v>-3.4239899999999999</v>
      </c>
      <c r="J346" s="21">
        <v>465.8732</v>
      </c>
      <c r="O346" s="21" t="str">
        <f t="shared" si="8"/>
        <v/>
      </c>
      <c r="R346" s="26" t="s">
        <v>973</v>
      </c>
      <c r="S346" s="21">
        <v>122.60120000000001</v>
      </c>
    </row>
    <row r="347" spans="1:19" x14ac:dyDescent="0.25">
      <c r="A347" s="21">
        <v>346</v>
      </c>
      <c r="B347" s="26" t="s">
        <v>45</v>
      </c>
      <c r="C347" s="26" t="s">
        <v>317</v>
      </c>
      <c r="D347" s="26" t="s">
        <v>605</v>
      </c>
      <c r="E347" s="21">
        <v>1093</v>
      </c>
      <c r="F347" s="21">
        <v>549</v>
      </c>
      <c r="G347" s="21">
        <v>544</v>
      </c>
      <c r="H347" s="21">
        <v>36.814909999999998</v>
      </c>
      <c r="I347" s="21">
        <v>-3.6814969999999998</v>
      </c>
      <c r="J347" s="21">
        <v>266.52269999999999</v>
      </c>
      <c r="O347" s="21" t="str">
        <f t="shared" si="8"/>
        <v/>
      </c>
      <c r="R347" s="26" t="s">
        <v>553</v>
      </c>
      <c r="S347" s="21">
        <v>1039.05</v>
      </c>
    </row>
    <row r="348" spans="1:19" x14ac:dyDescent="0.25">
      <c r="A348" s="21">
        <v>347</v>
      </c>
      <c r="B348" s="26" t="s">
        <v>45</v>
      </c>
      <c r="C348" s="26" t="s">
        <v>355</v>
      </c>
      <c r="D348" s="26" t="s">
        <v>606</v>
      </c>
      <c r="E348" s="21">
        <v>8407</v>
      </c>
      <c r="F348" s="21">
        <v>4236</v>
      </c>
      <c r="G348" s="21">
        <v>4171</v>
      </c>
      <c r="H348" s="21">
        <v>37.024320000000003</v>
      </c>
      <c r="I348" s="21">
        <v>-3.626719</v>
      </c>
      <c r="J348" s="21">
        <v>757.93039999999996</v>
      </c>
      <c r="O348" s="21" t="str">
        <f t="shared" si="8"/>
        <v/>
      </c>
      <c r="R348" s="26" t="s">
        <v>554</v>
      </c>
      <c r="S348" s="21">
        <v>791.87480000000005</v>
      </c>
    </row>
    <row r="349" spans="1:19" x14ac:dyDescent="0.25">
      <c r="A349" s="21">
        <v>348</v>
      </c>
      <c r="B349" s="26" t="s">
        <v>45</v>
      </c>
      <c r="C349" s="26" t="s">
        <v>320</v>
      </c>
      <c r="D349" s="26" t="s">
        <v>607</v>
      </c>
      <c r="E349" s="21">
        <v>315</v>
      </c>
      <c r="F349" s="21">
        <v>157</v>
      </c>
      <c r="G349" s="21">
        <v>158</v>
      </c>
      <c r="H349" s="21">
        <v>36.940040000000003</v>
      </c>
      <c r="I349" s="21">
        <v>-3.3613390000000001</v>
      </c>
      <c r="J349" s="21">
        <v>1054.9110000000001</v>
      </c>
      <c r="O349" s="21" t="str">
        <f t="shared" si="8"/>
        <v/>
      </c>
      <c r="R349" s="26" t="s">
        <v>555</v>
      </c>
      <c r="S349" s="21">
        <v>1241.51</v>
      </c>
    </row>
    <row r="350" spans="1:19" x14ac:dyDescent="0.25">
      <c r="A350" s="21">
        <v>349</v>
      </c>
      <c r="B350" s="26" t="s">
        <v>45</v>
      </c>
      <c r="C350" s="26" t="s">
        <v>318</v>
      </c>
      <c r="D350" s="26" t="s">
        <v>608</v>
      </c>
      <c r="E350" s="21">
        <v>1150</v>
      </c>
      <c r="F350" s="21">
        <v>564</v>
      </c>
      <c r="G350" s="21">
        <v>586</v>
      </c>
      <c r="H350" s="21">
        <v>37.50168</v>
      </c>
      <c r="I350" s="21">
        <v>-3.2306590000000002</v>
      </c>
      <c r="J350" s="21">
        <v>1036.3399999999999</v>
      </c>
      <c r="O350" s="21" t="str">
        <f t="shared" si="8"/>
        <v/>
      </c>
      <c r="R350" s="26" t="s">
        <v>556</v>
      </c>
      <c r="S350" s="21">
        <v>847.6644</v>
      </c>
    </row>
    <row r="351" spans="1:19" x14ac:dyDescent="0.25">
      <c r="A351" s="21">
        <v>350</v>
      </c>
      <c r="B351" s="26" t="s">
        <v>45</v>
      </c>
      <c r="C351" s="26" t="s">
        <v>319</v>
      </c>
      <c r="D351" s="26" t="s">
        <v>609</v>
      </c>
      <c r="E351" s="21">
        <v>11154</v>
      </c>
      <c r="F351" s="21">
        <v>5544</v>
      </c>
      <c r="G351" s="21">
        <v>5610</v>
      </c>
      <c r="H351" s="21">
        <v>37.23122</v>
      </c>
      <c r="I351" s="21">
        <v>-3.6294149999999998</v>
      </c>
      <c r="J351" s="21">
        <v>687.53279999999995</v>
      </c>
      <c r="O351" s="21" t="str">
        <f t="shared" si="8"/>
        <v/>
      </c>
      <c r="R351" s="26" t="s">
        <v>45</v>
      </c>
      <c r="S351" s="21">
        <v>697.48599999999999</v>
      </c>
    </row>
    <row r="352" spans="1:19" x14ac:dyDescent="0.25">
      <c r="A352" s="21">
        <v>351</v>
      </c>
      <c r="B352" s="26" t="s">
        <v>45</v>
      </c>
      <c r="C352" s="26" t="s">
        <v>321</v>
      </c>
      <c r="D352" s="26" t="s">
        <v>610</v>
      </c>
      <c r="E352" s="21">
        <v>1250</v>
      </c>
      <c r="F352" s="21">
        <v>645</v>
      </c>
      <c r="G352" s="21">
        <v>605</v>
      </c>
      <c r="H352" s="21">
        <v>37.275599999999997</v>
      </c>
      <c r="I352" s="21">
        <v>-3.284761</v>
      </c>
      <c r="J352" s="21">
        <v>996.58889999999997</v>
      </c>
      <c r="O352" s="21" t="str">
        <f t="shared" si="8"/>
        <v/>
      </c>
      <c r="R352" s="26" t="s">
        <v>686</v>
      </c>
      <c r="S352" s="21">
        <v>680</v>
      </c>
    </row>
    <row r="353" spans="1:19" x14ac:dyDescent="0.25">
      <c r="A353" s="21">
        <v>352</v>
      </c>
      <c r="B353" s="26" t="s">
        <v>45</v>
      </c>
      <c r="C353" s="26" t="s">
        <v>360</v>
      </c>
      <c r="D353" s="26" t="s">
        <v>611</v>
      </c>
      <c r="E353" s="21">
        <v>996</v>
      </c>
      <c r="F353" s="21">
        <v>516</v>
      </c>
      <c r="G353" s="21">
        <v>480</v>
      </c>
      <c r="H353" s="21">
        <v>37.443370000000002</v>
      </c>
      <c r="I353" s="21">
        <v>-3.4394179999999999</v>
      </c>
      <c r="J353" s="21">
        <v>912.61900000000003</v>
      </c>
      <c r="O353" s="21" t="str">
        <f t="shared" si="8"/>
        <v/>
      </c>
      <c r="R353" s="26" t="s">
        <v>687</v>
      </c>
      <c r="S353" s="21">
        <v>18.326560000000001</v>
      </c>
    </row>
    <row r="354" spans="1:19" x14ac:dyDescent="0.25">
      <c r="A354" s="21">
        <v>353</v>
      </c>
      <c r="B354" s="26" t="s">
        <v>45</v>
      </c>
      <c r="C354" s="26" t="s">
        <v>322</v>
      </c>
      <c r="D354" s="26" t="s">
        <v>612</v>
      </c>
      <c r="E354" s="21">
        <v>1438</v>
      </c>
      <c r="F354" s="21">
        <v>745</v>
      </c>
      <c r="G354" s="21">
        <v>693</v>
      </c>
      <c r="H354" s="21">
        <v>37.16339</v>
      </c>
      <c r="I354" s="21">
        <v>-3.5026350000000002</v>
      </c>
      <c r="J354" s="21">
        <v>777.88430000000005</v>
      </c>
      <c r="O354" s="21" t="str">
        <f t="shared" si="8"/>
        <v/>
      </c>
      <c r="R354" s="26" t="s">
        <v>438</v>
      </c>
      <c r="S354" s="21">
        <v>554.32140000000004</v>
      </c>
    </row>
    <row r="355" spans="1:19" x14ac:dyDescent="0.25">
      <c r="A355" s="21">
        <v>354</v>
      </c>
      <c r="B355" s="26" t="s">
        <v>45</v>
      </c>
      <c r="C355" s="26" t="s">
        <v>323</v>
      </c>
      <c r="D355" s="26" t="s">
        <v>613</v>
      </c>
      <c r="E355" s="21">
        <v>10605</v>
      </c>
      <c r="F355" s="21">
        <v>5315</v>
      </c>
      <c r="G355" s="21">
        <v>5290</v>
      </c>
      <c r="H355" s="21">
        <v>37.251460000000002</v>
      </c>
      <c r="I355" s="21">
        <v>-3.7509950000000001</v>
      </c>
      <c r="J355" s="21">
        <v>575.28880000000004</v>
      </c>
      <c r="O355" s="21" t="str">
        <f t="shared" si="8"/>
        <v/>
      </c>
      <c r="R355" s="26" t="s">
        <v>383</v>
      </c>
      <c r="S355" s="21">
        <v>830.52869999999996</v>
      </c>
    </row>
    <row r="356" spans="1:19" x14ac:dyDescent="0.25">
      <c r="A356" s="21">
        <v>355</v>
      </c>
      <c r="B356" s="26" t="s">
        <v>45</v>
      </c>
      <c r="C356" s="26" t="s">
        <v>324</v>
      </c>
      <c r="D356" s="26" t="s">
        <v>614</v>
      </c>
      <c r="E356" s="21">
        <v>1209</v>
      </c>
      <c r="F356" s="21">
        <v>670</v>
      </c>
      <c r="G356" s="21">
        <v>539</v>
      </c>
      <c r="H356" s="21">
        <v>37.443370000000002</v>
      </c>
      <c r="I356" s="21">
        <v>-3.4394179999999999</v>
      </c>
      <c r="J356" s="21">
        <v>912.61900000000003</v>
      </c>
      <c r="O356" s="21" t="str">
        <f t="shared" si="8"/>
        <v/>
      </c>
      <c r="R356" s="26" t="s">
        <v>557</v>
      </c>
      <c r="S356" s="21">
        <v>968.34029999999996</v>
      </c>
    </row>
    <row r="357" spans="1:19" x14ac:dyDescent="0.25">
      <c r="A357" s="21">
        <v>356</v>
      </c>
      <c r="B357" s="26" t="s">
        <v>45</v>
      </c>
      <c r="C357" s="26" t="s">
        <v>325</v>
      </c>
      <c r="D357" s="26" t="s">
        <v>615</v>
      </c>
      <c r="E357" s="21">
        <v>235</v>
      </c>
      <c r="F357" s="21">
        <v>122</v>
      </c>
      <c r="G357" s="21">
        <v>113</v>
      </c>
      <c r="H357" s="21">
        <v>37.257640000000002</v>
      </c>
      <c r="I357" s="21">
        <v>-3.2321019999999998</v>
      </c>
      <c r="J357" s="21">
        <v>1146.402</v>
      </c>
      <c r="O357" s="21" t="str">
        <f t="shared" si="8"/>
        <v/>
      </c>
      <c r="R357" s="26" t="s">
        <v>974</v>
      </c>
      <c r="S357" s="21">
        <v>666.40880000000004</v>
      </c>
    </row>
    <row r="358" spans="1:19" x14ac:dyDescent="0.25">
      <c r="A358" s="21">
        <v>357</v>
      </c>
      <c r="B358" s="26" t="s">
        <v>45</v>
      </c>
      <c r="C358" s="26" t="s">
        <v>326</v>
      </c>
      <c r="D358" s="26" t="s">
        <v>616</v>
      </c>
      <c r="E358" s="21">
        <v>1680</v>
      </c>
      <c r="F358" s="21">
        <v>885</v>
      </c>
      <c r="G358" s="21">
        <v>795</v>
      </c>
      <c r="H358" s="21">
        <v>36.795529999999999</v>
      </c>
      <c r="I358" s="21">
        <v>-3.2971349999999999</v>
      </c>
      <c r="J358" s="21">
        <v>783.92650000000003</v>
      </c>
      <c r="O358" s="21" t="str">
        <f t="shared" si="8"/>
        <v/>
      </c>
      <c r="R358" s="26" t="s">
        <v>439</v>
      </c>
      <c r="S358" s="21">
        <v>161.6661</v>
      </c>
    </row>
    <row r="359" spans="1:19" x14ac:dyDescent="0.25">
      <c r="A359" s="21">
        <v>358</v>
      </c>
      <c r="B359" s="26" t="s">
        <v>45</v>
      </c>
      <c r="C359" s="26" t="s">
        <v>327</v>
      </c>
      <c r="D359" s="26" t="s">
        <v>617</v>
      </c>
      <c r="E359" s="21">
        <v>409</v>
      </c>
      <c r="F359" s="21">
        <v>213</v>
      </c>
      <c r="G359" s="21">
        <v>196</v>
      </c>
      <c r="H359" s="21">
        <v>36.942410000000002</v>
      </c>
      <c r="I359" s="21">
        <v>-3.3103859999999998</v>
      </c>
      <c r="J359" s="21">
        <v>1312.607</v>
      </c>
      <c r="O359" s="21" t="str">
        <f t="shared" si="8"/>
        <v/>
      </c>
      <c r="R359" s="26" t="s">
        <v>558</v>
      </c>
      <c r="S359" s="21">
        <v>919.40250000000003</v>
      </c>
    </row>
    <row r="360" spans="1:19" x14ac:dyDescent="0.25">
      <c r="A360" s="21">
        <v>359</v>
      </c>
      <c r="B360" s="26" t="s">
        <v>45</v>
      </c>
      <c r="C360" s="26" t="s">
        <v>328</v>
      </c>
      <c r="D360" s="26" t="s">
        <v>618</v>
      </c>
      <c r="E360" s="21">
        <v>2329</v>
      </c>
      <c r="F360" s="21">
        <v>1211</v>
      </c>
      <c r="G360" s="21">
        <v>1118</v>
      </c>
      <c r="H360" s="21">
        <v>37.957900000000002</v>
      </c>
      <c r="I360" s="21">
        <v>-2.4350800000000001</v>
      </c>
      <c r="J360" s="21">
        <v>1160.896</v>
      </c>
      <c r="O360" s="21" t="str">
        <f t="shared" si="8"/>
        <v/>
      </c>
      <c r="R360" s="26" t="s">
        <v>559</v>
      </c>
      <c r="S360" s="21">
        <v>475.60509999999999</v>
      </c>
    </row>
    <row r="361" spans="1:19" x14ac:dyDescent="0.25">
      <c r="A361" s="21">
        <v>360</v>
      </c>
      <c r="B361" s="26" t="s">
        <v>45</v>
      </c>
      <c r="C361" s="26" t="s">
        <v>329</v>
      </c>
      <c r="D361" s="26" t="s">
        <v>619</v>
      </c>
      <c r="E361" s="21">
        <v>5366</v>
      </c>
      <c r="F361" s="21">
        <v>2666</v>
      </c>
      <c r="G361" s="21">
        <v>2700</v>
      </c>
      <c r="H361" s="21">
        <v>37.222639999999998</v>
      </c>
      <c r="I361" s="21">
        <v>-3.6081629999999998</v>
      </c>
      <c r="J361" s="21">
        <v>728.15890000000002</v>
      </c>
      <c r="O361" s="21" t="str">
        <f t="shared" si="8"/>
        <v/>
      </c>
      <c r="R361" s="26" t="s">
        <v>560</v>
      </c>
      <c r="S361" s="21">
        <v>335.95</v>
      </c>
    </row>
    <row r="362" spans="1:19" x14ac:dyDescent="0.25">
      <c r="A362" s="21">
        <v>361</v>
      </c>
      <c r="B362" s="26" t="s">
        <v>45</v>
      </c>
      <c r="C362" s="26" t="s">
        <v>330</v>
      </c>
      <c r="D362" s="26" t="s">
        <v>620</v>
      </c>
      <c r="E362" s="21">
        <v>2399</v>
      </c>
      <c r="F362" s="21">
        <v>1202</v>
      </c>
      <c r="G362" s="21">
        <v>1197</v>
      </c>
      <c r="H362" s="21">
        <v>37.317590000000003</v>
      </c>
      <c r="I362" s="21">
        <v>-3.1902740000000001</v>
      </c>
      <c r="J362" s="21">
        <v>907.99549999999999</v>
      </c>
      <c r="O362" s="21" t="str">
        <f t="shared" si="8"/>
        <v/>
      </c>
      <c r="R362" s="26" t="s">
        <v>765</v>
      </c>
      <c r="S362" s="21">
        <v>617.77980000000002</v>
      </c>
    </row>
    <row r="363" spans="1:19" x14ac:dyDescent="0.25">
      <c r="A363" s="21">
        <v>362</v>
      </c>
      <c r="B363" s="26" t="s">
        <v>45</v>
      </c>
      <c r="C363" s="26" t="s">
        <v>331</v>
      </c>
      <c r="D363" s="26" t="s">
        <v>621</v>
      </c>
      <c r="E363" s="21">
        <v>974</v>
      </c>
      <c r="F363" s="21">
        <v>495</v>
      </c>
      <c r="G363" s="21">
        <v>479</v>
      </c>
      <c r="H363" s="21">
        <v>37.192010000000003</v>
      </c>
      <c r="I363" s="21">
        <v>-3.4681920000000002</v>
      </c>
      <c r="J363" s="21">
        <v>855.64120000000003</v>
      </c>
      <c r="O363" s="21" t="str">
        <f t="shared" si="8"/>
        <v/>
      </c>
      <c r="R363" s="26" t="s">
        <v>882</v>
      </c>
      <c r="S363" s="21">
        <v>347.66019999999997</v>
      </c>
    </row>
    <row r="364" spans="1:19" x14ac:dyDescent="0.25">
      <c r="A364" s="21">
        <v>363</v>
      </c>
      <c r="B364" s="26" t="s">
        <v>45</v>
      </c>
      <c r="C364" s="26" t="s">
        <v>332</v>
      </c>
      <c r="D364" s="26" t="s">
        <v>622</v>
      </c>
      <c r="E364" s="21">
        <v>392</v>
      </c>
      <c r="F364" s="21">
        <v>221</v>
      </c>
      <c r="G364" s="21">
        <v>171</v>
      </c>
      <c r="H364" s="21">
        <v>36.808839999999996</v>
      </c>
      <c r="I364" s="21">
        <v>-3.3480439999999998</v>
      </c>
      <c r="J364" s="21">
        <v>778.73019999999997</v>
      </c>
      <c r="O364" s="21" t="str">
        <f t="shared" si="8"/>
        <v/>
      </c>
      <c r="R364" s="26" t="s">
        <v>766</v>
      </c>
      <c r="S364" s="21">
        <v>348.12729999999999</v>
      </c>
    </row>
    <row r="365" spans="1:19" x14ac:dyDescent="0.25">
      <c r="A365" s="21">
        <v>364</v>
      </c>
      <c r="B365" s="26" t="s">
        <v>45</v>
      </c>
      <c r="C365" s="26" t="s">
        <v>333</v>
      </c>
      <c r="D365" s="26" t="s">
        <v>623</v>
      </c>
      <c r="E365" s="21">
        <v>2712</v>
      </c>
      <c r="F365" s="21">
        <v>1366</v>
      </c>
      <c r="G365" s="21">
        <v>1346</v>
      </c>
      <c r="H365" s="21">
        <v>37.148820000000001</v>
      </c>
      <c r="I365" s="21">
        <v>-4.0677320000000003</v>
      </c>
      <c r="J365" s="21">
        <v>545.42070000000001</v>
      </c>
      <c r="O365" s="21" t="str">
        <f t="shared" ref="O365:O428" si="9">IFERROR(VLOOKUP($O$1,B365:D1137,3,FALSE),"")</f>
        <v/>
      </c>
      <c r="R365" s="26" t="s">
        <v>561</v>
      </c>
      <c r="S365" s="21">
        <v>1098.1600000000001</v>
      </c>
    </row>
    <row r="366" spans="1:19" x14ac:dyDescent="0.25">
      <c r="A366" s="21">
        <v>365</v>
      </c>
      <c r="B366" s="26" t="s">
        <v>45</v>
      </c>
      <c r="C366" s="26" t="s">
        <v>334</v>
      </c>
      <c r="D366" s="26" t="s">
        <v>624</v>
      </c>
      <c r="E366" s="21">
        <v>12429</v>
      </c>
      <c r="F366" s="21">
        <v>6171</v>
      </c>
      <c r="G366" s="21">
        <v>6258</v>
      </c>
      <c r="H366" s="21">
        <v>36.746259999999999</v>
      </c>
      <c r="I366" s="21">
        <v>-3.5871080000000002</v>
      </c>
      <c r="J366" s="21">
        <v>20.959119999999999</v>
      </c>
      <c r="O366" s="21" t="str">
        <f t="shared" si="9"/>
        <v/>
      </c>
      <c r="R366" s="26" t="s">
        <v>562</v>
      </c>
      <c r="S366" s="21">
        <v>876.23410000000001</v>
      </c>
    </row>
    <row r="367" spans="1:19" x14ac:dyDescent="0.25">
      <c r="A367" s="21">
        <v>366</v>
      </c>
      <c r="B367" s="26" t="s">
        <v>45</v>
      </c>
      <c r="C367" s="26" t="s">
        <v>335</v>
      </c>
      <c r="D367" s="26" t="s">
        <v>625</v>
      </c>
      <c r="E367" s="21">
        <v>549</v>
      </c>
      <c r="F367" s="21">
        <v>288</v>
      </c>
      <c r="G367" s="21">
        <v>261</v>
      </c>
      <c r="H367" s="21">
        <v>37.06024</v>
      </c>
      <c r="I367" s="21">
        <v>-3.9767169999999998</v>
      </c>
      <c r="J367" s="21">
        <v>737.32039999999995</v>
      </c>
      <c r="O367" s="21" t="str">
        <f t="shared" si="9"/>
        <v/>
      </c>
      <c r="R367" s="26" t="s">
        <v>440</v>
      </c>
      <c r="S367" s="21">
        <v>565.62350000000004</v>
      </c>
    </row>
    <row r="368" spans="1:19" x14ac:dyDescent="0.25">
      <c r="A368" s="21">
        <v>367</v>
      </c>
      <c r="B368" s="26" t="s">
        <v>45</v>
      </c>
      <c r="C368" s="26" t="s">
        <v>336</v>
      </c>
      <c r="D368" s="26" t="s">
        <v>626</v>
      </c>
      <c r="E368" s="21">
        <v>15067</v>
      </c>
      <c r="F368" s="21">
        <v>7428</v>
      </c>
      <c r="G368" s="21">
        <v>7639</v>
      </c>
      <c r="H368" s="21">
        <v>37.189360000000001</v>
      </c>
      <c r="I368" s="21">
        <v>-3.7190759999999998</v>
      </c>
      <c r="J368" s="21">
        <v>582.65449999999998</v>
      </c>
      <c r="O368" s="21" t="str">
        <f t="shared" si="9"/>
        <v/>
      </c>
      <c r="R368" s="26" t="s">
        <v>975</v>
      </c>
      <c r="S368" s="21">
        <v>23.119579999999999</v>
      </c>
    </row>
    <row r="369" spans="1:19" x14ac:dyDescent="0.25">
      <c r="A369" s="21">
        <v>368</v>
      </c>
      <c r="B369" s="26" t="s">
        <v>45</v>
      </c>
      <c r="C369" s="26" t="s">
        <v>337</v>
      </c>
      <c r="D369" s="26" t="s">
        <v>627</v>
      </c>
      <c r="E369" s="21">
        <v>296</v>
      </c>
      <c r="F369" s="21">
        <v>167</v>
      </c>
      <c r="G369" s="21">
        <v>129</v>
      </c>
      <c r="H369" s="21">
        <v>36.92839</v>
      </c>
      <c r="I369" s="21">
        <v>-3.4051330000000002</v>
      </c>
      <c r="J369" s="21">
        <v>944.02070000000003</v>
      </c>
      <c r="O369" s="21" t="str">
        <f t="shared" si="9"/>
        <v/>
      </c>
      <c r="R369" s="26" t="s">
        <v>976</v>
      </c>
      <c r="S369" s="21">
        <v>250.99770000000001</v>
      </c>
    </row>
    <row r="370" spans="1:19" x14ac:dyDescent="0.25">
      <c r="A370" s="21">
        <v>369</v>
      </c>
      <c r="B370" s="26" t="s">
        <v>45</v>
      </c>
      <c r="C370" s="26" t="s">
        <v>338</v>
      </c>
      <c r="D370" s="26" t="s">
        <v>628</v>
      </c>
      <c r="E370" s="21">
        <v>552</v>
      </c>
      <c r="F370" s="21">
        <v>281</v>
      </c>
      <c r="G370" s="21">
        <v>271</v>
      </c>
      <c r="H370" s="21">
        <v>36.794420000000002</v>
      </c>
      <c r="I370" s="21">
        <v>-3.2675239999999999</v>
      </c>
      <c r="J370" s="21">
        <v>769.99879999999996</v>
      </c>
      <c r="O370" s="21" t="str">
        <f t="shared" si="9"/>
        <v/>
      </c>
      <c r="R370" s="26" t="s">
        <v>767</v>
      </c>
      <c r="S370" s="21">
        <v>327.06900000000002</v>
      </c>
    </row>
    <row r="371" spans="1:19" x14ac:dyDescent="0.25">
      <c r="A371" s="21">
        <v>370</v>
      </c>
      <c r="B371" s="26" t="s">
        <v>45</v>
      </c>
      <c r="C371" s="26" t="s">
        <v>138</v>
      </c>
      <c r="D371" s="26" t="s">
        <v>629</v>
      </c>
      <c r="E371" s="21">
        <v>643</v>
      </c>
      <c r="F371" s="21">
        <v>334</v>
      </c>
      <c r="G371" s="21">
        <v>309</v>
      </c>
      <c r="H371" s="21">
        <v>36.933329999999998</v>
      </c>
      <c r="I371" s="21">
        <v>-3.3166669999999998</v>
      </c>
      <c r="J371" s="21">
        <v>1100.905</v>
      </c>
      <c r="O371" s="21" t="str">
        <f t="shared" si="9"/>
        <v/>
      </c>
      <c r="R371" s="26" t="s">
        <v>688</v>
      </c>
      <c r="S371" s="21">
        <v>627.31209999999999</v>
      </c>
    </row>
    <row r="372" spans="1:19" x14ac:dyDescent="0.25">
      <c r="A372" s="21">
        <v>371</v>
      </c>
      <c r="B372" s="26" t="s">
        <v>45</v>
      </c>
      <c r="C372" s="26" t="s">
        <v>339</v>
      </c>
      <c r="D372" s="26" t="s">
        <v>630</v>
      </c>
      <c r="E372" s="21">
        <v>847</v>
      </c>
      <c r="F372" s="21">
        <v>437</v>
      </c>
      <c r="G372" s="21">
        <v>410</v>
      </c>
      <c r="H372" s="21">
        <v>37.504570000000001</v>
      </c>
      <c r="I372" s="21">
        <v>-3.3560150000000002</v>
      </c>
      <c r="J372" s="21">
        <v>1219.53</v>
      </c>
      <c r="O372" s="21" t="str">
        <f t="shared" si="9"/>
        <v/>
      </c>
      <c r="R372" s="26" t="s">
        <v>689</v>
      </c>
      <c r="S372" s="21">
        <v>615.30489999999998</v>
      </c>
    </row>
    <row r="373" spans="1:19" x14ac:dyDescent="0.25">
      <c r="A373" s="21">
        <v>372</v>
      </c>
      <c r="B373" s="26" t="s">
        <v>45</v>
      </c>
      <c r="C373" s="26" t="s">
        <v>340</v>
      </c>
      <c r="D373" s="26" t="s">
        <v>631</v>
      </c>
      <c r="E373" s="21">
        <v>708</v>
      </c>
      <c r="F373" s="21">
        <v>372</v>
      </c>
      <c r="G373" s="21">
        <v>336</v>
      </c>
      <c r="H373" s="21">
        <v>36.877879999999998</v>
      </c>
      <c r="I373" s="21">
        <v>-3.2985519999999999</v>
      </c>
      <c r="J373" s="21">
        <v>667.79459999999995</v>
      </c>
      <c r="O373" s="21" t="str">
        <f t="shared" si="9"/>
        <v/>
      </c>
      <c r="R373" s="26" t="s">
        <v>768</v>
      </c>
      <c r="S373" s="21">
        <v>662.64679999999998</v>
      </c>
    </row>
    <row r="374" spans="1:19" x14ac:dyDescent="0.25">
      <c r="A374" s="21">
        <v>373</v>
      </c>
      <c r="B374" s="26" t="s">
        <v>45</v>
      </c>
      <c r="C374" s="26" t="s">
        <v>341</v>
      </c>
      <c r="D374" s="26" t="s">
        <v>632</v>
      </c>
      <c r="E374" s="21">
        <v>786</v>
      </c>
      <c r="F374" s="21">
        <v>411</v>
      </c>
      <c r="G374" s="21">
        <v>375</v>
      </c>
      <c r="H374" s="21">
        <v>37.002450000000003</v>
      </c>
      <c r="I374" s="21">
        <v>-3.2668710000000001</v>
      </c>
      <c r="J374" s="21">
        <v>1542.32</v>
      </c>
      <c r="O374" s="21" t="str">
        <f t="shared" si="9"/>
        <v/>
      </c>
      <c r="R374" s="26" t="s">
        <v>690</v>
      </c>
      <c r="S374" s="21">
        <v>83.665030000000002</v>
      </c>
    </row>
    <row r="375" spans="1:19" x14ac:dyDescent="0.25">
      <c r="A375" s="21">
        <v>374</v>
      </c>
      <c r="B375" s="26" t="s">
        <v>45</v>
      </c>
      <c r="C375" s="26" t="s">
        <v>342</v>
      </c>
      <c r="D375" s="26" t="s">
        <v>633</v>
      </c>
      <c r="E375" s="21">
        <v>265</v>
      </c>
      <c r="F375" s="21">
        <v>159</v>
      </c>
      <c r="G375" s="21">
        <v>106</v>
      </c>
      <c r="H375" s="21">
        <v>36.863570000000003</v>
      </c>
      <c r="I375" s="21">
        <v>-3.0577709999999998</v>
      </c>
      <c r="J375" s="21">
        <v>698.52020000000005</v>
      </c>
      <c r="O375" s="21" t="str">
        <f t="shared" si="9"/>
        <v/>
      </c>
      <c r="R375" s="26" t="s">
        <v>441</v>
      </c>
      <c r="S375" s="21">
        <v>551.71299999999997</v>
      </c>
    </row>
    <row r="376" spans="1:19" x14ac:dyDescent="0.25">
      <c r="A376" s="21">
        <v>375</v>
      </c>
      <c r="B376" s="26" t="s">
        <v>45</v>
      </c>
      <c r="C376" s="26" t="s">
        <v>343</v>
      </c>
      <c r="D376" s="26" t="s">
        <v>634</v>
      </c>
      <c r="E376" s="21">
        <v>2560</v>
      </c>
      <c r="F376" s="21">
        <v>1259</v>
      </c>
      <c r="G376" s="21">
        <v>1301</v>
      </c>
      <c r="H376" s="21">
        <v>36.960749999999997</v>
      </c>
      <c r="I376" s="21">
        <v>-3.054754</v>
      </c>
      <c r="J376" s="21">
        <v>547.5222</v>
      </c>
      <c r="O376" s="21" t="str">
        <f t="shared" si="9"/>
        <v/>
      </c>
      <c r="R376" s="26" t="s">
        <v>442</v>
      </c>
      <c r="S376" s="21">
        <v>177.45509999999999</v>
      </c>
    </row>
    <row r="377" spans="1:19" x14ac:dyDescent="0.25">
      <c r="A377" s="21">
        <v>376</v>
      </c>
      <c r="B377" s="26" t="s">
        <v>45</v>
      </c>
      <c r="C377" s="26" t="s">
        <v>358</v>
      </c>
      <c r="D377" s="26" t="s">
        <v>635</v>
      </c>
      <c r="E377" s="21">
        <v>2111</v>
      </c>
      <c r="F377" s="21">
        <v>1040</v>
      </c>
      <c r="G377" s="21">
        <v>1071</v>
      </c>
      <c r="H377" s="21">
        <v>37.236870000000003</v>
      </c>
      <c r="I377" s="21">
        <v>-3.8273640000000002</v>
      </c>
      <c r="J377" s="21">
        <v>550</v>
      </c>
      <c r="O377" s="21" t="str">
        <f t="shared" si="9"/>
        <v/>
      </c>
      <c r="R377" s="26" t="s">
        <v>769</v>
      </c>
      <c r="S377" s="21">
        <v>856.18790000000001</v>
      </c>
    </row>
    <row r="378" spans="1:19" x14ac:dyDescent="0.25">
      <c r="A378" s="21">
        <v>377</v>
      </c>
      <c r="B378" s="26" t="s">
        <v>45</v>
      </c>
      <c r="C378" s="26" t="s">
        <v>361</v>
      </c>
      <c r="D378" s="26" t="s">
        <v>636</v>
      </c>
      <c r="E378" s="21">
        <v>2229</v>
      </c>
      <c r="F378" s="21">
        <v>1134</v>
      </c>
      <c r="G378" s="21">
        <v>1095</v>
      </c>
      <c r="H378" s="21">
        <v>37.286110000000001</v>
      </c>
      <c r="I378" s="21">
        <v>-3.0088889999999999</v>
      </c>
      <c r="J378" s="21">
        <v>1245.152</v>
      </c>
      <c r="O378" s="21" t="str">
        <f t="shared" si="9"/>
        <v/>
      </c>
      <c r="R378" s="26" t="s">
        <v>253</v>
      </c>
      <c r="S378" s="21">
        <v>410.04469999999998</v>
      </c>
    </row>
    <row r="379" spans="1:19" x14ac:dyDescent="0.25">
      <c r="A379" s="21">
        <v>378</v>
      </c>
      <c r="B379" s="26" t="s">
        <v>45</v>
      </c>
      <c r="C379" s="26" t="s">
        <v>180</v>
      </c>
      <c r="D379" s="26" t="s">
        <v>637</v>
      </c>
      <c r="E379" s="21">
        <v>1013</v>
      </c>
      <c r="F379" s="21">
        <v>496</v>
      </c>
      <c r="G379" s="21">
        <v>517</v>
      </c>
      <c r="H379" s="21">
        <v>37.286110000000001</v>
      </c>
      <c r="I379" s="21">
        <v>-3.0088889999999999</v>
      </c>
      <c r="J379" s="21">
        <v>1245.152</v>
      </c>
      <c r="O379" s="21" t="str">
        <f t="shared" si="9"/>
        <v/>
      </c>
      <c r="R379" s="26" t="s">
        <v>563</v>
      </c>
      <c r="S379" s="21">
        <v>914.9307</v>
      </c>
    </row>
    <row r="380" spans="1:19" x14ac:dyDescent="0.25">
      <c r="A380" s="21">
        <v>379</v>
      </c>
      <c r="B380" s="26" t="s">
        <v>45</v>
      </c>
      <c r="C380" s="26" t="s">
        <v>344</v>
      </c>
      <c r="D380" s="26" t="s">
        <v>638</v>
      </c>
      <c r="E380" s="21">
        <v>654</v>
      </c>
      <c r="F380" s="21">
        <v>337</v>
      </c>
      <c r="G380" s="21">
        <v>317</v>
      </c>
      <c r="H380" s="21">
        <v>36.995890000000003</v>
      </c>
      <c r="I380" s="21">
        <v>-3.0831230000000001</v>
      </c>
      <c r="J380" s="21">
        <v>901.98649999999998</v>
      </c>
      <c r="O380" s="21" t="str">
        <f t="shared" si="9"/>
        <v/>
      </c>
      <c r="R380" s="26" t="s">
        <v>770</v>
      </c>
      <c r="S380" s="21">
        <v>957.85739999999998</v>
      </c>
    </row>
    <row r="381" spans="1:19" x14ac:dyDescent="0.25">
      <c r="A381" s="21">
        <v>380</v>
      </c>
      <c r="B381" s="26" t="s">
        <v>45</v>
      </c>
      <c r="C381" s="26" t="s">
        <v>356</v>
      </c>
      <c r="D381" s="26" t="s">
        <v>639</v>
      </c>
      <c r="E381" s="21">
        <v>10423</v>
      </c>
      <c r="F381" s="21">
        <v>5327</v>
      </c>
      <c r="G381" s="21">
        <v>5096</v>
      </c>
      <c r="H381" s="21">
        <v>37.166670000000003</v>
      </c>
      <c r="I381" s="21">
        <v>-3.7</v>
      </c>
      <c r="J381" s="21">
        <v>615</v>
      </c>
      <c r="O381" s="21" t="str">
        <f t="shared" si="9"/>
        <v/>
      </c>
      <c r="R381" s="26" t="s">
        <v>49</v>
      </c>
      <c r="S381" s="21">
        <v>20.744140000000002</v>
      </c>
    </row>
    <row r="382" spans="1:19" x14ac:dyDescent="0.25">
      <c r="A382" s="21">
        <v>381</v>
      </c>
      <c r="B382" s="26" t="s">
        <v>45</v>
      </c>
      <c r="C382" s="26" t="s">
        <v>345</v>
      </c>
      <c r="D382" s="26" t="s">
        <v>640</v>
      </c>
      <c r="E382" s="21">
        <v>2903</v>
      </c>
      <c r="F382" s="21">
        <v>1461</v>
      </c>
      <c r="G382" s="21">
        <v>1442</v>
      </c>
      <c r="H382" s="21">
        <v>36.831949999999999</v>
      </c>
      <c r="I382" s="21">
        <v>-3.5162089999999999</v>
      </c>
      <c r="J382" s="21">
        <v>170.5154</v>
      </c>
      <c r="O382" s="21" t="str">
        <f t="shared" si="9"/>
        <v/>
      </c>
      <c r="R382" s="26" t="s">
        <v>564</v>
      </c>
      <c r="S382" s="21">
        <v>1155.8499999999999</v>
      </c>
    </row>
    <row r="383" spans="1:19" x14ac:dyDescent="0.25">
      <c r="A383" s="21">
        <v>382</v>
      </c>
      <c r="B383" s="26" t="s">
        <v>45</v>
      </c>
      <c r="C383" s="26" t="s">
        <v>346</v>
      </c>
      <c r="D383" s="26" t="s">
        <v>641</v>
      </c>
      <c r="E383" s="21">
        <v>661</v>
      </c>
      <c r="F383" s="21">
        <v>352</v>
      </c>
      <c r="G383" s="21">
        <v>309</v>
      </c>
      <c r="H383" s="21">
        <v>37.068530000000003</v>
      </c>
      <c r="I383" s="21">
        <v>-3.822133</v>
      </c>
      <c r="J383" s="21">
        <v>858.721</v>
      </c>
      <c r="O383" s="21" t="str">
        <f t="shared" si="9"/>
        <v/>
      </c>
      <c r="R383" s="26" t="s">
        <v>254</v>
      </c>
      <c r="S383" s="21">
        <v>72.529089999999997</v>
      </c>
    </row>
    <row r="384" spans="1:19" x14ac:dyDescent="0.25">
      <c r="A384" s="21">
        <v>383</v>
      </c>
      <c r="B384" s="26" t="s">
        <v>45</v>
      </c>
      <c r="C384" s="26" t="s">
        <v>315</v>
      </c>
      <c r="D384" s="26" t="s">
        <v>642</v>
      </c>
      <c r="E384" s="21">
        <v>6783</v>
      </c>
      <c r="F384" s="21">
        <v>3442</v>
      </c>
      <c r="G384" s="21">
        <v>3341</v>
      </c>
      <c r="H384" s="21">
        <v>37.09431</v>
      </c>
      <c r="I384" s="21">
        <v>-3.6350730000000002</v>
      </c>
      <c r="J384" s="21">
        <v>783.02340000000004</v>
      </c>
      <c r="O384" s="21" t="str">
        <f t="shared" si="9"/>
        <v/>
      </c>
      <c r="R384" s="26" t="s">
        <v>255</v>
      </c>
      <c r="S384" s="21">
        <v>284.61169999999998</v>
      </c>
    </row>
    <row r="385" spans="1:19" x14ac:dyDescent="0.25">
      <c r="A385" s="21">
        <v>384</v>
      </c>
      <c r="B385" s="26" t="s">
        <v>45</v>
      </c>
      <c r="C385" s="26" t="s">
        <v>362</v>
      </c>
      <c r="D385" s="26" t="s">
        <v>643</v>
      </c>
      <c r="E385" s="21">
        <v>1016</v>
      </c>
      <c r="F385" s="21">
        <v>510</v>
      </c>
      <c r="G385" s="21">
        <v>506</v>
      </c>
      <c r="H385" s="21">
        <v>36.990349999999999</v>
      </c>
      <c r="I385" s="21">
        <v>-3.5889350000000002</v>
      </c>
      <c r="J385" s="21">
        <v>762.75779999999997</v>
      </c>
      <c r="O385" s="21" t="str">
        <f t="shared" si="9"/>
        <v/>
      </c>
      <c r="R385" s="26" t="s">
        <v>771</v>
      </c>
      <c r="S385" s="21">
        <v>633.46879999999999</v>
      </c>
    </row>
    <row r="386" spans="1:19" x14ac:dyDescent="0.25">
      <c r="A386" s="21">
        <v>385</v>
      </c>
      <c r="B386" s="26" t="s">
        <v>45</v>
      </c>
      <c r="C386" s="26" t="s">
        <v>347</v>
      </c>
      <c r="D386" s="26" t="s">
        <v>644</v>
      </c>
      <c r="E386" s="21">
        <v>661</v>
      </c>
      <c r="F386" s="21">
        <v>350</v>
      </c>
      <c r="G386" s="21">
        <v>311</v>
      </c>
      <c r="H386" s="21">
        <v>37.556629999999998</v>
      </c>
      <c r="I386" s="21">
        <v>-3.0901930000000002</v>
      </c>
      <c r="J386" s="21">
        <v>645.93920000000003</v>
      </c>
      <c r="O386" s="21" t="str">
        <f t="shared" si="9"/>
        <v/>
      </c>
      <c r="R386" s="26" t="s">
        <v>565</v>
      </c>
      <c r="S386" s="21">
        <v>959.97810000000004</v>
      </c>
    </row>
    <row r="387" spans="1:19" x14ac:dyDescent="0.25">
      <c r="A387" s="21">
        <v>386</v>
      </c>
      <c r="B387" s="26" t="s">
        <v>45</v>
      </c>
      <c r="C387" s="26" t="s">
        <v>348</v>
      </c>
      <c r="D387" s="26" t="s">
        <v>645</v>
      </c>
      <c r="E387" s="21">
        <v>2013</v>
      </c>
      <c r="F387" s="21">
        <v>1008</v>
      </c>
      <c r="G387" s="21">
        <v>1005</v>
      </c>
      <c r="H387" s="21">
        <v>37.214199999999998</v>
      </c>
      <c r="I387" s="21">
        <v>-4.0112480000000001</v>
      </c>
      <c r="J387" s="21">
        <v>493.50790000000001</v>
      </c>
      <c r="O387" s="21" t="str">
        <f t="shared" si="9"/>
        <v/>
      </c>
      <c r="R387" s="26" t="s">
        <v>566</v>
      </c>
      <c r="S387" s="21">
        <v>1019.823</v>
      </c>
    </row>
    <row r="388" spans="1:19" x14ac:dyDescent="0.25">
      <c r="A388" s="21">
        <v>387</v>
      </c>
      <c r="B388" s="26" t="s">
        <v>45</v>
      </c>
      <c r="C388" s="26" t="s">
        <v>349</v>
      </c>
      <c r="D388" s="26" t="s">
        <v>646</v>
      </c>
      <c r="E388" s="21">
        <v>971</v>
      </c>
      <c r="F388" s="21">
        <v>499</v>
      </c>
      <c r="G388" s="21">
        <v>472</v>
      </c>
      <c r="H388" s="21">
        <v>37.231079999999999</v>
      </c>
      <c r="I388" s="21">
        <v>-3.5538349999999999</v>
      </c>
      <c r="J388" s="21">
        <v>1074.3230000000001</v>
      </c>
      <c r="O388" s="21" t="str">
        <f t="shared" si="9"/>
        <v/>
      </c>
      <c r="R388" s="26" t="s">
        <v>567</v>
      </c>
      <c r="S388" s="21">
        <v>489</v>
      </c>
    </row>
    <row r="389" spans="1:19" x14ac:dyDescent="0.25">
      <c r="A389" s="21">
        <v>388</v>
      </c>
      <c r="B389" s="26" t="s">
        <v>45</v>
      </c>
      <c r="C389" s="26" t="s">
        <v>350</v>
      </c>
      <c r="D389" s="26" t="s">
        <v>647</v>
      </c>
      <c r="E389" s="21">
        <v>2040</v>
      </c>
      <c r="F389" s="21">
        <v>1087</v>
      </c>
      <c r="G389" s="21">
        <v>953</v>
      </c>
      <c r="H389" s="21">
        <v>36.97551</v>
      </c>
      <c r="I389" s="21">
        <v>-4.1444210000000004</v>
      </c>
      <c r="J389" s="21">
        <v>896.43730000000005</v>
      </c>
      <c r="O389" s="21" t="str">
        <f t="shared" si="9"/>
        <v/>
      </c>
      <c r="R389" s="26" t="s">
        <v>568</v>
      </c>
      <c r="S389" s="21">
        <v>739.98670000000004</v>
      </c>
    </row>
    <row r="390" spans="1:19" x14ac:dyDescent="0.25">
      <c r="A390" s="21">
        <v>389</v>
      </c>
      <c r="B390" s="26" t="s">
        <v>45</v>
      </c>
      <c r="C390" s="26" t="s">
        <v>364</v>
      </c>
      <c r="D390" s="26" t="s">
        <v>648</v>
      </c>
      <c r="E390" s="21">
        <v>899</v>
      </c>
      <c r="F390" s="21">
        <v>460</v>
      </c>
      <c r="G390" s="21">
        <v>439</v>
      </c>
      <c r="H390" s="21">
        <v>37.253030000000003</v>
      </c>
      <c r="I390" s="21">
        <v>-4.1681319999999999</v>
      </c>
      <c r="J390" s="21">
        <v>680.06460000000004</v>
      </c>
      <c r="O390" s="21" t="str">
        <f t="shared" si="9"/>
        <v/>
      </c>
      <c r="R390" s="26" t="s">
        <v>977</v>
      </c>
      <c r="S390" s="21">
        <v>72.443719999999999</v>
      </c>
    </row>
    <row r="391" spans="1:19" x14ac:dyDescent="0.25">
      <c r="A391" s="21">
        <v>390</v>
      </c>
      <c r="B391" s="26" t="s">
        <v>45</v>
      </c>
      <c r="C391" s="26" t="s">
        <v>351</v>
      </c>
      <c r="D391" s="26" t="s">
        <v>649</v>
      </c>
      <c r="E391" s="21">
        <v>18675</v>
      </c>
      <c r="F391" s="21">
        <v>9160</v>
      </c>
      <c r="G391" s="21">
        <v>9515</v>
      </c>
      <c r="H391" s="21">
        <v>37.120609999999999</v>
      </c>
      <c r="I391" s="21">
        <v>-3.5846680000000002</v>
      </c>
      <c r="J391" s="21">
        <v>744.77359999999999</v>
      </c>
      <c r="O391" s="21" t="str">
        <f t="shared" si="9"/>
        <v/>
      </c>
      <c r="R391" s="26" t="s">
        <v>883</v>
      </c>
      <c r="S391" s="21">
        <v>447</v>
      </c>
    </row>
    <row r="392" spans="1:19" x14ac:dyDescent="0.25">
      <c r="A392" s="21">
        <v>391</v>
      </c>
      <c r="B392" s="26" t="s">
        <v>45</v>
      </c>
      <c r="C392" s="26" t="s">
        <v>352</v>
      </c>
      <c r="D392" s="26" t="s">
        <v>650</v>
      </c>
      <c r="E392" s="21">
        <v>2777</v>
      </c>
      <c r="F392" s="21">
        <v>1432</v>
      </c>
      <c r="G392" s="21">
        <v>1345</v>
      </c>
      <c r="H392" s="21">
        <v>37.540149999999997</v>
      </c>
      <c r="I392" s="21">
        <v>-2.8428170000000001</v>
      </c>
      <c r="J392" s="21">
        <v>771.52049999999997</v>
      </c>
      <c r="O392" s="21" t="str">
        <f t="shared" si="9"/>
        <v/>
      </c>
      <c r="R392" s="26" t="s">
        <v>772</v>
      </c>
      <c r="S392" s="21">
        <v>595.42070000000001</v>
      </c>
    </row>
    <row r="393" spans="1:19" x14ac:dyDescent="0.25">
      <c r="A393" s="21">
        <v>392</v>
      </c>
      <c r="B393" s="26" t="s">
        <v>49</v>
      </c>
      <c r="C393" s="26" t="s">
        <v>76</v>
      </c>
      <c r="D393" s="26" t="s">
        <v>651</v>
      </c>
      <c r="E393" s="21">
        <v>813</v>
      </c>
      <c r="F393" s="21">
        <v>413</v>
      </c>
      <c r="G393" s="21">
        <v>400</v>
      </c>
      <c r="H393" s="21">
        <v>37.874389999999998</v>
      </c>
      <c r="I393" s="21">
        <v>-6.6660779999999997</v>
      </c>
      <c r="J393" s="21">
        <v>578.17510000000004</v>
      </c>
      <c r="O393" s="21" t="str">
        <f t="shared" si="9"/>
        <v/>
      </c>
      <c r="R393" s="26" t="s">
        <v>884</v>
      </c>
      <c r="S393" s="21">
        <v>692.64729999999997</v>
      </c>
    </row>
    <row r="394" spans="1:19" x14ac:dyDescent="0.25">
      <c r="A394" s="21">
        <v>393</v>
      </c>
      <c r="B394" s="26" t="s">
        <v>49</v>
      </c>
      <c r="C394" s="26" t="s">
        <v>77</v>
      </c>
      <c r="D394" s="26" t="s">
        <v>652</v>
      </c>
      <c r="E394" s="21">
        <v>20357</v>
      </c>
      <c r="F394" s="21">
        <v>10150</v>
      </c>
      <c r="G394" s="21">
        <v>10207</v>
      </c>
      <c r="H394" s="21">
        <v>37.27111</v>
      </c>
      <c r="I394" s="21">
        <v>-7.021585</v>
      </c>
      <c r="J394" s="21">
        <v>36.698189999999997</v>
      </c>
      <c r="O394" s="21" t="str">
        <f t="shared" si="9"/>
        <v/>
      </c>
      <c r="R394" s="26" t="s">
        <v>256</v>
      </c>
      <c r="S394" s="21">
        <v>428.11849999999998</v>
      </c>
    </row>
    <row r="395" spans="1:19" x14ac:dyDescent="0.25">
      <c r="A395" s="21">
        <v>394</v>
      </c>
      <c r="B395" s="26" t="s">
        <v>49</v>
      </c>
      <c r="C395" s="26" t="s">
        <v>78</v>
      </c>
      <c r="D395" s="26" t="s">
        <v>653</v>
      </c>
      <c r="E395" s="21">
        <v>829</v>
      </c>
      <c r="F395" s="21">
        <v>436</v>
      </c>
      <c r="G395" s="21">
        <v>393</v>
      </c>
      <c r="H395" s="21">
        <v>37.506929999999997</v>
      </c>
      <c r="I395" s="21">
        <v>-7.2700189999999996</v>
      </c>
      <c r="J395" s="21">
        <v>235.1584</v>
      </c>
      <c r="O395" s="21" t="str">
        <f t="shared" si="9"/>
        <v/>
      </c>
      <c r="R395" s="26" t="s">
        <v>569</v>
      </c>
      <c r="S395" s="21">
        <v>775.86890000000005</v>
      </c>
    </row>
    <row r="396" spans="1:19" x14ac:dyDescent="0.25">
      <c r="A396" s="21">
        <v>395</v>
      </c>
      <c r="B396" s="26" t="s">
        <v>49</v>
      </c>
      <c r="C396" s="26" t="s">
        <v>79</v>
      </c>
      <c r="D396" s="26" t="s">
        <v>654</v>
      </c>
      <c r="E396" s="21">
        <v>1861</v>
      </c>
      <c r="F396" s="21">
        <v>978</v>
      </c>
      <c r="G396" s="21">
        <v>883</v>
      </c>
      <c r="H396" s="21">
        <v>37.871810000000004</v>
      </c>
      <c r="I396" s="21">
        <v>-6.7879009999999997</v>
      </c>
      <c r="J396" s="21">
        <v>581.577</v>
      </c>
      <c r="O396" s="21" t="str">
        <f t="shared" si="9"/>
        <v/>
      </c>
      <c r="R396" s="26" t="s">
        <v>257</v>
      </c>
      <c r="S396" s="21">
        <v>434.57</v>
      </c>
    </row>
    <row r="397" spans="1:19" x14ac:dyDescent="0.25">
      <c r="A397" s="21">
        <v>396</v>
      </c>
      <c r="B397" s="26" t="s">
        <v>49</v>
      </c>
      <c r="C397" s="26" t="s">
        <v>80</v>
      </c>
      <c r="D397" s="26" t="s">
        <v>655</v>
      </c>
      <c r="E397" s="21">
        <v>23254</v>
      </c>
      <c r="F397" s="21">
        <v>11648</v>
      </c>
      <c r="G397" s="21">
        <v>11606</v>
      </c>
      <c r="H397" s="21">
        <v>37.262540000000001</v>
      </c>
      <c r="I397" s="21">
        <v>-6.5172400000000001</v>
      </c>
      <c r="J397" s="21">
        <v>77.074169999999995</v>
      </c>
      <c r="O397" s="21" t="str">
        <f t="shared" si="9"/>
        <v/>
      </c>
      <c r="R397" s="26" t="s">
        <v>773</v>
      </c>
      <c r="S397" s="21">
        <v>940.50699999999995</v>
      </c>
    </row>
    <row r="398" spans="1:19" x14ac:dyDescent="0.25">
      <c r="A398" s="21">
        <v>397</v>
      </c>
      <c r="B398" s="26" t="s">
        <v>49</v>
      </c>
      <c r="C398" s="26" t="s">
        <v>81</v>
      </c>
      <c r="D398" s="26" t="s">
        <v>656</v>
      </c>
      <c r="E398" s="21">
        <v>4038</v>
      </c>
      <c r="F398" s="21">
        <v>1966</v>
      </c>
      <c r="G398" s="21">
        <v>2072</v>
      </c>
      <c r="H398" s="21">
        <v>37.54936</v>
      </c>
      <c r="I398" s="21">
        <v>-7.1154279999999996</v>
      </c>
      <c r="J398" s="21">
        <v>183.96879999999999</v>
      </c>
      <c r="O398" s="21" t="str">
        <f t="shared" si="9"/>
        <v/>
      </c>
      <c r="R398" s="26" t="s">
        <v>691</v>
      </c>
      <c r="S398" s="21">
        <v>6.3367740000000001</v>
      </c>
    </row>
    <row r="399" spans="1:19" x14ac:dyDescent="0.25">
      <c r="A399" s="21">
        <v>398</v>
      </c>
      <c r="B399" s="26" t="s">
        <v>49</v>
      </c>
      <c r="C399" s="26" t="s">
        <v>82</v>
      </c>
      <c r="D399" s="26" t="s">
        <v>657</v>
      </c>
      <c r="E399" s="21">
        <v>7972</v>
      </c>
      <c r="F399" s="21">
        <v>3935</v>
      </c>
      <c r="G399" s="21">
        <v>4037</v>
      </c>
      <c r="H399" s="21">
        <v>37.894170000000003</v>
      </c>
      <c r="I399" s="21">
        <v>-6.5612069999999996</v>
      </c>
      <c r="J399" s="21">
        <v>673.99590000000001</v>
      </c>
      <c r="O399" s="21" t="str">
        <f t="shared" si="9"/>
        <v/>
      </c>
      <c r="R399" s="26" t="s">
        <v>978</v>
      </c>
      <c r="S399" s="21">
        <v>4</v>
      </c>
    </row>
    <row r="400" spans="1:19" x14ac:dyDescent="0.25">
      <c r="A400" s="21">
        <v>399</v>
      </c>
      <c r="B400" s="26" t="s">
        <v>49</v>
      </c>
      <c r="C400" s="26" t="s">
        <v>83</v>
      </c>
      <c r="D400" s="26" t="s">
        <v>658</v>
      </c>
      <c r="E400" s="21">
        <v>3183</v>
      </c>
      <c r="F400" s="21">
        <v>1599</v>
      </c>
      <c r="G400" s="21">
        <v>1584</v>
      </c>
      <c r="H400" s="21">
        <v>37.94426</v>
      </c>
      <c r="I400" s="21">
        <v>-6.9542650000000004</v>
      </c>
      <c r="J400" s="21">
        <v>407.15499999999997</v>
      </c>
      <c r="O400" s="21" t="str">
        <f t="shared" si="9"/>
        <v/>
      </c>
      <c r="R400" s="26" t="s">
        <v>885</v>
      </c>
      <c r="S400" s="21">
        <v>295.78820000000002</v>
      </c>
    </row>
    <row r="401" spans="1:19" x14ac:dyDescent="0.25">
      <c r="A401" s="21">
        <v>400</v>
      </c>
      <c r="B401" s="26" t="s">
        <v>49</v>
      </c>
      <c r="C401" s="26" t="s">
        <v>84</v>
      </c>
      <c r="D401" s="26" t="s">
        <v>659</v>
      </c>
      <c r="E401" s="21">
        <v>1018</v>
      </c>
      <c r="F401" s="21">
        <v>525</v>
      </c>
      <c r="G401" s="21">
        <v>493</v>
      </c>
      <c r="H401" s="21">
        <v>38.026040000000002</v>
      </c>
      <c r="I401" s="21">
        <v>-6.4211039999999997</v>
      </c>
      <c r="J401" s="21">
        <v>599.7921</v>
      </c>
      <c r="O401" s="21" t="str">
        <f t="shared" si="9"/>
        <v/>
      </c>
      <c r="R401" s="26" t="s">
        <v>570</v>
      </c>
      <c r="S401" s="21">
        <v>384.31029999999998</v>
      </c>
    </row>
    <row r="402" spans="1:19" x14ac:dyDescent="0.25">
      <c r="A402" s="21">
        <v>401</v>
      </c>
      <c r="B402" s="26" t="s">
        <v>49</v>
      </c>
      <c r="C402" s="26" t="s">
        <v>85</v>
      </c>
      <c r="D402" s="26" t="s">
        <v>660</v>
      </c>
      <c r="E402" s="21">
        <v>20357</v>
      </c>
      <c r="F402" s="21">
        <v>10173</v>
      </c>
      <c r="G402" s="21">
        <v>10184</v>
      </c>
      <c r="H402" s="21">
        <v>37.214660000000002</v>
      </c>
      <c r="I402" s="21">
        <v>-7.4098189999999997</v>
      </c>
      <c r="J402" s="21">
        <v>3.1560809999999999</v>
      </c>
      <c r="O402" s="21" t="str">
        <f t="shared" si="9"/>
        <v/>
      </c>
      <c r="R402" s="26" t="s">
        <v>443</v>
      </c>
      <c r="S402" s="21">
        <v>519.90570000000002</v>
      </c>
    </row>
    <row r="403" spans="1:19" x14ac:dyDescent="0.25">
      <c r="A403" s="21">
        <v>402</v>
      </c>
      <c r="B403" s="26" t="s">
        <v>49</v>
      </c>
      <c r="C403" s="26" t="s">
        <v>86</v>
      </c>
      <c r="D403" s="26" t="s">
        <v>661</v>
      </c>
      <c r="E403" s="21">
        <v>4304</v>
      </c>
      <c r="F403" s="21">
        <v>2181</v>
      </c>
      <c r="G403" s="21">
        <v>2123</v>
      </c>
      <c r="H403" s="21">
        <v>37.425919999999998</v>
      </c>
      <c r="I403" s="21">
        <v>-6.7929880000000002</v>
      </c>
      <c r="J403" s="21">
        <v>120.98260000000001</v>
      </c>
      <c r="O403" s="21" t="str">
        <f t="shared" si="9"/>
        <v/>
      </c>
      <c r="R403" s="26" t="s">
        <v>571</v>
      </c>
      <c r="S403" s="21">
        <v>816.33540000000005</v>
      </c>
    </row>
    <row r="404" spans="1:19" x14ac:dyDescent="0.25">
      <c r="A404" s="21">
        <v>403</v>
      </c>
      <c r="B404" s="26" t="s">
        <v>49</v>
      </c>
      <c r="C404" s="26" t="s">
        <v>87</v>
      </c>
      <c r="D404" s="26" t="s">
        <v>662</v>
      </c>
      <c r="E404" s="21">
        <v>345</v>
      </c>
      <c r="F404" s="21">
        <v>165</v>
      </c>
      <c r="G404" s="21">
        <v>180</v>
      </c>
      <c r="H404" s="21">
        <v>38</v>
      </c>
      <c r="I404" s="21">
        <v>-6.8833330000000004</v>
      </c>
      <c r="J404" s="21">
        <v>465.07619999999997</v>
      </c>
      <c r="O404" s="21" t="str">
        <f t="shared" si="9"/>
        <v/>
      </c>
      <c r="R404" s="26" t="s">
        <v>886</v>
      </c>
      <c r="S404" s="21">
        <v>305.81299999999999</v>
      </c>
    </row>
    <row r="405" spans="1:19" x14ac:dyDescent="0.25">
      <c r="A405" s="21">
        <v>404</v>
      </c>
      <c r="B405" s="26" t="s">
        <v>49</v>
      </c>
      <c r="C405" s="26" t="s">
        <v>89</v>
      </c>
      <c r="D405" s="26" t="s">
        <v>663</v>
      </c>
      <c r="E405" s="21">
        <v>14324</v>
      </c>
      <c r="F405" s="21">
        <v>7142</v>
      </c>
      <c r="G405" s="21">
        <v>7182</v>
      </c>
      <c r="H405" s="21">
        <v>37.336150000000004</v>
      </c>
      <c r="I405" s="21">
        <v>-6.5357580000000004</v>
      </c>
      <c r="J405" s="21">
        <v>116.0159</v>
      </c>
      <c r="O405" s="21" t="str">
        <f t="shared" si="9"/>
        <v/>
      </c>
      <c r="R405" s="26" t="s">
        <v>774</v>
      </c>
      <c r="S405" s="21">
        <v>1037.5909999999999</v>
      </c>
    </row>
    <row r="406" spans="1:19" x14ac:dyDescent="0.25">
      <c r="A406" s="21">
        <v>405</v>
      </c>
      <c r="B406" s="26" t="s">
        <v>49</v>
      </c>
      <c r="C406" s="26" t="s">
        <v>88</v>
      </c>
      <c r="D406" s="26" t="s">
        <v>664</v>
      </c>
      <c r="E406" s="21">
        <v>6090</v>
      </c>
      <c r="F406" s="21">
        <v>3032</v>
      </c>
      <c r="G406" s="21">
        <v>3058</v>
      </c>
      <c r="H406" s="21">
        <v>37.321899999999999</v>
      </c>
      <c r="I406" s="21">
        <v>-6.6806970000000003</v>
      </c>
      <c r="J406" s="21">
        <v>82.236580000000004</v>
      </c>
      <c r="O406" s="21" t="str">
        <f t="shared" si="9"/>
        <v/>
      </c>
      <c r="R406" s="26" t="s">
        <v>775</v>
      </c>
      <c r="S406" s="21">
        <v>487.92450000000002</v>
      </c>
    </row>
    <row r="407" spans="1:19" x14ac:dyDescent="0.25">
      <c r="A407" s="21">
        <v>406</v>
      </c>
      <c r="B407" s="26" t="s">
        <v>49</v>
      </c>
      <c r="C407" s="26" t="s">
        <v>90</v>
      </c>
      <c r="D407" s="26" t="s">
        <v>665</v>
      </c>
      <c r="E407" s="21">
        <v>744</v>
      </c>
      <c r="F407" s="21">
        <v>387</v>
      </c>
      <c r="G407" s="21">
        <v>357</v>
      </c>
      <c r="H407" s="21">
        <v>37.726500000000001</v>
      </c>
      <c r="I407" s="21">
        <v>-7.0874509999999997</v>
      </c>
      <c r="J407" s="21">
        <v>222.5471</v>
      </c>
      <c r="O407" s="21" t="str">
        <f t="shared" si="9"/>
        <v/>
      </c>
      <c r="R407" s="26" t="s">
        <v>692</v>
      </c>
      <c r="S407" s="21">
        <v>658.24289999999996</v>
      </c>
    </row>
    <row r="408" spans="1:19" x14ac:dyDescent="0.25">
      <c r="A408" s="21">
        <v>407</v>
      </c>
      <c r="B408" s="26" t="s">
        <v>49</v>
      </c>
      <c r="C408" s="26" t="s">
        <v>91</v>
      </c>
      <c r="D408" s="26" t="s">
        <v>666</v>
      </c>
      <c r="E408" s="21">
        <v>1252</v>
      </c>
      <c r="F408" s="21">
        <v>633</v>
      </c>
      <c r="G408" s="21">
        <v>619</v>
      </c>
      <c r="H408" s="21">
        <v>37.972169999999998</v>
      </c>
      <c r="I408" s="21">
        <v>-6.3164899999999999</v>
      </c>
      <c r="J408" s="21">
        <v>594.07309999999995</v>
      </c>
      <c r="O408" s="21" t="str">
        <f t="shared" si="9"/>
        <v/>
      </c>
      <c r="R408" s="26" t="s">
        <v>50</v>
      </c>
      <c r="S408" s="21">
        <v>576.39390000000003</v>
      </c>
    </row>
    <row r="409" spans="1:19" x14ac:dyDescent="0.25">
      <c r="A409" s="21">
        <v>408</v>
      </c>
      <c r="B409" s="26" t="s">
        <v>49</v>
      </c>
      <c r="C409" s="26" t="s">
        <v>92</v>
      </c>
      <c r="D409" s="26" t="s">
        <v>667</v>
      </c>
      <c r="E409" s="21">
        <v>4238</v>
      </c>
      <c r="F409" s="21">
        <v>2166</v>
      </c>
      <c r="G409" s="21">
        <v>2072</v>
      </c>
      <c r="H409" s="21">
        <v>37.654820000000001</v>
      </c>
      <c r="I409" s="21">
        <v>-6.8786829999999997</v>
      </c>
      <c r="J409" s="21">
        <v>297.42079999999999</v>
      </c>
      <c r="O409" s="21" t="str">
        <f t="shared" si="9"/>
        <v/>
      </c>
      <c r="R409" s="26" t="s">
        <v>776</v>
      </c>
      <c r="S409" s="21">
        <v>754.02729999999997</v>
      </c>
    </row>
    <row r="410" spans="1:19" x14ac:dyDescent="0.25">
      <c r="A410" s="21">
        <v>409</v>
      </c>
      <c r="B410" s="26" t="s">
        <v>49</v>
      </c>
      <c r="C410" s="26" t="s">
        <v>93</v>
      </c>
      <c r="D410" s="26" t="s">
        <v>668</v>
      </c>
      <c r="E410" s="21">
        <v>2122</v>
      </c>
      <c r="F410" s="21">
        <v>1051</v>
      </c>
      <c r="G410" s="21">
        <v>1071</v>
      </c>
      <c r="H410" s="21">
        <v>37.69332</v>
      </c>
      <c r="I410" s="21">
        <v>-6.630814</v>
      </c>
      <c r="J410" s="21">
        <v>434.68119999999999</v>
      </c>
      <c r="O410" s="21" t="str">
        <f t="shared" si="9"/>
        <v/>
      </c>
      <c r="R410" s="26" t="s">
        <v>572</v>
      </c>
      <c r="S410" s="21">
        <v>911.83920000000001</v>
      </c>
    </row>
    <row r="411" spans="1:19" x14ac:dyDescent="0.25">
      <c r="A411" s="21">
        <v>410</v>
      </c>
      <c r="B411" s="26" t="s">
        <v>49</v>
      </c>
      <c r="C411" s="26" t="s">
        <v>94</v>
      </c>
      <c r="D411" s="26" t="s">
        <v>669</v>
      </c>
      <c r="E411" s="21">
        <v>643</v>
      </c>
      <c r="F411" s="21">
        <v>320</v>
      </c>
      <c r="G411" s="21">
        <v>323</v>
      </c>
      <c r="H411" s="21">
        <v>37.767760000000003</v>
      </c>
      <c r="I411" s="21">
        <v>-6.573099</v>
      </c>
      <c r="J411" s="21">
        <v>518.697</v>
      </c>
      <c r="O411" s="21" t="str">
        <f t="shared" si="9"/>
        <v/>
      </c>
      <c r="R411" s="26" t="s">
        <v>384</v>
      </c>
      <c r="S411" s="21">
        <v>55.748489999999997</v>
      </c>
    </row>
    <row r="412" spans="1:19" x14ac:dyDescent="0.25">
      <c r="A412" s="21">
        <v>411</v>
      </c>
      <c r="B412" s="26" t="s">
        <v>49</v>
      </c>
      <c r="C412" s="26" t="s">
        <v>95</v>
      </c>
      <c r="D412" s="26" t="s">
        <v>670</v>
      </c>
      <c r="E412" s="21">
        <v>409</v>
      </c>
      <c r="F412" s="21">
        <v>199</v>
      </c>
      <c r="G412" s="21">
        <v>210</v>
      </c>
      <c r="H412" s="21">
        <v>38.014539999999997</v>
      </c>
      <c r="I412" s="21">
        <v>-6.5278080000000003</v>
      </c>
      <c r="J412" s="21">
        <v>545.9366</v>
      </c>
      <c r="O412" s="21" t="str">
        <f t="shared" si="9"/>
        <v/>
      </c>
      <c r="R412" s="26" t="s">
        <v>573</v>
      </c>
      <c r="S412" s="21">
        <v>1237.271</v>
      </c>
    </row>
    <row r="413" spans="1:19" x14ac:dyDescent="0.25">
      <c r="A413" s="21">
        <v>412</v>
      </c>
      <c r="B413" s="26" t="s">
        <v>49</v>
      </c>
      <c r="C413" s="26" t="s">
        <v>96</v>
      </c>
      <c r="D413" s="26" t="s">
        <v>671</v>
      </c>
      <c r="E413" s="21">
        <v>19164</v>
      </c>
      <c r="F413" s="21">
        <v>9853</v>
      </c>
      <c r="G413" s="21">
        <v>9311</v>
      </c>
      <c r="H413" s="21">
        <v>37.283140000000003</v>
      </c>
      <c r="I413" s="21">
        <v>-7.154979</v>
      </c>
      <c r="J413" s="21">
        <v>24.174160000000001</v>
      </c>
      <c r="O413" s="21" t="str">
        <f t="shared" si="9"/>
        <v/>
      </c>
      <c r="R413" s="26" t="s">
        <v>574</v>
      </c>
      <c r="S413" s="21">
        <v>134.28039999999999</v>
      </c>
    </row>
    <row r="414" spans="1:19" x14ac:dyDescent="0.25">
      <c r="A414" s="21">
        <v>413</v>
      </c>
      <c r="B414" s="26" t="s">
        <v>49</v>
      </c>
      <c r="C414" s="26" t="s">
        <v>97</v>
      </c>
      <c r="D414" s="26" t="s">
        <v>672</v>
      </c>
      <c r="E414" s="21">
        <v>211</v>
      </c>
      <c r="F414" s="21">
        <v>122</v>
      </c>
      <c r="G414" s="21">
        <v>89</v>
      </c>
      <c r="H414" s="21">
        <v>37.895099999999999</v>
      </c>
      <c r="I414" s="21">
        <v>-6.7039429999999998</v>
      </c>
      <c r="J414" s="21">
        <v>739.81330000000003</v>
      </c>
      <c r="O414" s="21" t="str">
        <f t="shared" si="9"/>
        <v/>
      </c>
      <c r="R414" s="26" t="s">
        <v>777</v>
      </c>
      <c r="S414" s="21">
        <v>610.7731</v>
      </c>
    </row>
    <row r="415" spans="1:19" x14ac:dyDescent="0.25">
      <c r="A415" s="21">
        <v>414</v>
      </c>
      <c r="B415" s="26" t="s">
        <v>49</v>
      </c>
      <c r="C415" s="26" t="s">
        <v>98</v>
      </c>
      <c r="D415" s="26" t="s">
        <v>673</v>
      </c>
      <c r="E415" s="21">
        <v>2495</v>
      </c>
      <c r="F415" s="21">
        <v>1253</v>
      </c>
      <c r="G415" s="21">
        <v>1242</v>
      </c>
      <c r="H415" s="21">
        <v>37.735190000000003</v>
      </c>
      <c r="I415" s="21">
        <v>-6.9387340000000002</v>
      </c>
      <c r="J415" s="21">
        <v>301.11900000000003</v>
      </c>
      <c r="O415" s="21" t="str">
        <f t="shared" si="9"/>
        <v/>
      </c>
      <c r="R415" s="26" t="s">
        <v>385</v>
      </c>
      <c r="S415" s="21">
        <v>131.44300000000001</v>
      </c>
    </row>
    <row r="416" spans="1:19" x14ac:dyDescent="0.25">
      <c r="A416" s="21">
        <v>415</v>
      </c>
      <c r="B416" s="26" t="s">
        <v>49</v>
      </c>
      <c r="C416" s="26" t="s">
        <v>105</v>
      </c>
      <c r="D416" s="26" t="s">
        <v>674</v>
      </c>
      <c r="E416" s="21">
        <v>2122</v>
      </c>
      <c r="F416" s="21">
        <v>1076</v>
      </c>
      <c r="G416" s="21">
        <v>1046</v>
      </c>
      <c r="H416" s="21">
        <v>37.36157</v>
      </c>
      <c r="I416" s="21">
        <v>-6.3939459999999997</v>
      </c>
      <c r="J416" s="21">
        <v>148.2157</v>
      </c>
      <c r="O416" s="21" t="str">
        <f t="shared" si="9"/>
        <v/>
      </c>
      <c r="R416" s="26" t="s">
        <v>887</v>
      </c>
      <c r="S416" s="21">
        <v>548.84190000000001</v>
      </c>
    </row>
    <row r="417" spans="1:19" x14ac:dyDescent="0.25">
      <c r="A417" s="21">
        <v>416</v>
      </c>
      <c r="B417" s="26" t="s">
        <v>49</v>
      </c>
      <c r="C417" s="26" t="s">
        <v>99</v>
      </c>
      <c r="D417" s="26" t="s">
        <v>675</v>
      </c>
      <c r="E417" s="21">
        <v>552</v>
      </c>
      <c r="F417" s="21">
        <v>275</v>
      </c>
      <c r="G417" s="21">
        <v>277</v>
      </c>
      <c r="H417" s="21">
        <v>37.895850000000003</v>
      </c>
      <c r="I417" s="21">
        <v>-6.505878</v>
      </c>
      <c r="J417" s="21">
        <v>581.7432</v>
      </c>
      <c r="O417" s="21" t="str">
        <f t="shared" si="9"/>
        <v/>
      </c>
      <c r="R417" s="26" t="s">
        <v>778</v>
      </c>
      <c r="S417" s="21">
        <v>650.83920000000001</v>
      </c>
    </row>
    <row r="418" spans="1:19" x14ac:dyDescent="0.25">
      <c r="A418" s="21">
        <v>417</v>
      </c>
      <c r="B418" s="26" t="s">
        <v>49</v>
      </c>
      <c r="C418" s="26" t="s">
        <v>100</v>
      </c>
      <c r="D418" s="26" t="s">
        <v>676</v>
      </c>
      <c r="E418" s="21">
        <v>4931</v>
      </c>
      <c r="F418" s="21">
        <v>2514</v>
      </c>
      <c r="G418" s="21">
        <v>2417</v>
      </c>
      <c r="H418" s="21">
        <v>37.909370000000003</v>
      </c>
      <c r="I418" s="21">
        <v>-6.8206160000000002</v>
      </c>
      <c r="J418" s="21">
        <v>686.30899999999997</v>
      </c>
      <c r="O418" s="21" t="str">
        <f t="shared" si="9"/>
        <v/>
      </c>
      <c r="R418" s="26" t="s">
        <v>888</v>
      </c>
      <c r="S418" s="21">
        <v>556.01030000000003</v>
      </c>
    </row>
    <row r="419" spans="1:19" x14ac:dyDescent="0.25">
      <c r="A419" s="21">
        <v>418</v>
      </c>
      <c r="B419" s="26" t="s">
        <v>49</v>
      </c>
      <c r="C419" s="26" t="s">
        <v>101</v>
      </c>
      <c r="D419" s="26" t="s">
        <v>677</v>
      </c>
      <c r="E419" s="21">
        <v>283</v>
      </c>
      <c r="F419" s="21">
        <v>143</v>
      </c>
      <c r="G419" s="21">
        <v>140</v>
      </c>
      <c r="H419" s="21">
        <v>37.935540000000003</v>
      </c>
      <c r="I419" s="21">
        <v>-6.6247680000000004</v>
      </c>
      <c r="J419" s="21">
        <v>624.83429999999998</v>
      </c>
      <c r="O419" s="21" t="str">
        <f t="shared" si="9"/>
        <v/>
      </c>
      <c r="R419" s="26" t="s">
        <v>575</v>
      </c>
      <c r="S419" s="21">
        <v>763.61080000000004</v>
      </c>
    </row>
    <row r="420" spans="1:19" x14ac:dyDescent="0.25">
      <c r="A420" s="21">
        <v>419</v>
      </c>
      <c r="B420" s="26" t="s">
        <v>49</v>
      </c>
      <c r="C420" s="26" t="s">
        <v>103</v>
      </c>
      <c r="D420" s="26" t="s">
        <v>678</v>
      </c>
      <c r="E420" s="21">
        <v>54</v>
      </c>
      <c r="F420" s="21">
        <v>33</v>
      </c>
      <c r="G420" s="21">
        <v>21</v>
      </c>
      <c r="H420" s="21">
        <v>38.072240000000001</v>
      </c>
      <c r="I420" s="21">
        <v>-6.6928770000000002</v>
      </c>
      <c r="J420" s="21">
        <v>592.31640000000004</v>
      </c>
      <c r="O420" s="21" t="str">
        <f t="shared" si="9"/>
        <v/>
      </c>
      <c r="R420" s="26" t="s">
        <v>576</v>
      </c>
      <c r="S420" s="21">
        <v>1258.52</v>
      </c>
    </row>
    <row r="421" spans="1:19" x14ac:dyDescent="0.25">
      <c r="A421" s="21">
        <v>420</v>
      </c>
      <c r="B421" s="26" t="s">
        <v>49</v>
      </c>
      <c r="C421" s="26" t="s">
        <v>104</v>
      </c>
      <c r="D421" s="26" t="s">
        <v>679</v>
      </c>
      <c r="E421" s="21">
        <v>421</v>
      </c>
      <c r="F421" s="21">
        <v>210</v>
      </c>
      <c r="G421" s="21">
        <v>211</v>
      </c>
      <c r="H421" s="21">
        <v>38.076909999999998</v>
      </c>
      <c r="I421" s="21">
        <v>-6.7433360000000002</v>
      </c>
      <c r="J421" s="21">
        <v>579.47370000000001</v>
      </c>
      <c r="O421" s="21" t="str">
        <f t="shared" si="9"/>
        <v/>
      </c>
      <c r="R421" s="26" t="s">
        <v>889</v>
      </c>
      <c r="S421" s="21">
        <v>622.42060000000004</v>
      </c>
    </row>
    <row r="422" spans="1:19" x14ac:dyDescent="0.25">
      <c r="A422" s="21">
        <v>421</v>
      </c>
      <c r="B422" s="26" t="s">
        <v>49</v>
      </c>
      <c r="C422" s="26" t="s">
        <v>102</v>
      </c>
      <c r="D422" s="26" t="s">
        <v>680</v>
      </c>
      <c r="E422" s="21">
        <v>1848</v>
      </c>
      <c r="F422" s="21">
        <v>924</v>
      </c>
      <c r="G422" s="21">
        <v>924</v>
      </c>
      <c r="H422" s="21">
        <v>38.063699999999997</v>
      </c>
      <c r="I422" s="21">
        <v>-6.6470739999999999</v>
      </c>
      <c r="J422" s="21">
        <v>694.76980000000003</v>
      </c>
      <c r="O422" s="21" t="str">
        <f t="shared" si="9"/>
        <v/>
      </c>
      <c r="R422" s="26" t="s">
        <v>577</v>
      </c>
      <c r="S422" s="21">
        <v>559.71479999999997</v>
      </c>
    </row>
    <row r="423" spans="1:19" x14ac:dyDescent="0.25">
      <c r="A423" s="21">
        <v>422</v>
      </c>
      <c r="B423" s="26" t="s">
        <v>49</v>
      </c>
      <c r="C423" s="26" t="s">
        <v>106</v>
      </c>
      <c r="D423" s="26" t="s">
        <v>681</v>
      </c>
      <c r="E423" s="21">
        <v>1326</v>
      </c>
      <c r="F423" s="21">
        <v>684</v>
      </c>
      <c r="G423" s="21">
        <v>642</v>
      </c>
      <c r="H423" s="21">
        <v>38.135219999999997</v>
      </c>
      <c r="I423" s="21">
        <v>-6.8721410000000001</v>
      </c>
      <c r="J423" s="21">
        <v>430.96460000000002</v>
      </c>
      <c r="O423" s="21" t="str">
        <f t="shared" si="9"/>
        <v/>
      </c>
      <c r="R423" s="26" t="s">
        <v>779</v>
      </c>
      <c r="S423" s="21">
        <v>372.6848</v>
      </c>
    </row>
    <row r="424" spans="1:19" x14ac:dyDescent="0.25">
      <c r="A424" s="21">
        <v>423</v>
      </c>
      <c r="B424" s="26" t="s">
        <v>49</v>
      </c>
      <c r="C424" s="26" t="s">
        <v>107</v>
      </c>
      <c r="D424" s="26" t="s">
        <v>682</v>
      </c>
      <c r="E424" s="21">
        <v>2095</v>
      </c>
      <c r="F424" s="21">
        <v>1030</v>
      </c>
      <c r="G424" s="21">
        <v>1065</v>
      </c>
      <c r="H424" s="21">
        <v>37.410330000000002</v>
      </c>
      <c r="I424" s="21">
        <v>-6.3895609999999996</v>
      </c>
      <c r="J424" s="21">
        <v>172</v>
      </c>
      <c r="O424" s="21" t="str">
        <f t="shared" si="9"/>
        <v/>
      </c>
      <c r="R424" s="26" t="s">
        <v>578</v>
      </c>
      <c r="S424" s="21">
        <v>662.30859999999996</v>
      </c>
    </row>
    <row r="425" spans="1:19" x14ac:dyDescent="0.25">
      <c r="A425" s="21">
        <v>424</v>
      </c>
      <c r="B425" s="26" t="s">
        <v>49</v>
      </c>
      <c r="C425" s="26" t="s">
        <v>108</v>
      </c>
      <c r="D425" s="26" t="s">
        <v>683</v>
      </c>
      <c r="E425" s="21">
        <v>641</v>
      </c>
      <c r="F425" s="21">
        <v>332</v>
      </c>
      <c r="G425" s="21">
        <v>309</v>
      </c>
      <c r="H425" s="21">
        <v>37.903269999999999</v>
      </c>
      <c r="I425" s="21">
        <v>-6.6606610000000002</v>
      </c>
      <c r="J425" s="21">
        <v>711.65279999999996</v>
      </c>
      <c r="O425" s="21" t="str">
        <f t="shared" si="9"/>
        <v/>
      </c>
      <c r="R425" s="26" t="s">
        <v>579</v>
      </c>
      <c r="S425" s="21">
        <v>1279.6179999999999</v>
      </c>
    </row>
    <row r="426" spans="1:19" x14ac:dyDescent="0.25">
      <c r="A426" s="21">
        <v>425</v>
      </c>
      <c r="B426" s="26" t="s">
        <v>49</v>
      </c>
      <c r="C426" s="26" t="s">
        <v>109</v>
      </c>
      <c r="D426" s="26" t="s">
        <v>684</v>
      </c>
      <c r="E426" s="21">
        <v>1486</v>
      </c>
      <c r="F426" s="21">
        <v>733</v>
      </c>
      <c r="G426" s="21">
        <v>753</v>
      </c>
      <c r="H426" s="21">
        <v>37.927570000000003</v>
      </c>
      <c r="I426" s="21">
        <v>-6.7092210000000003</v>
      </c>
      <c r="J426" s="21">
        <v>562.19629999999995</v>
      </c>
      <c r="O426" s="21" t="str">
        <f t="shared" si="9"/>
        <v/>
      </c>
      <c r="R426" s="26" t="s">
        <v>979</v>
      </c>
      <c r="S426" s="21">
        <v>152.5531</v>
      </c>
    </row>
    <row r="427" spans="1:19" x14ac:dyDescent="0.25">
      <c r="A427" s="21">
        <v>426</v>
      </c>
      <c r="B427" s="26" t="s">
        <v>49</v>
      </c>
      <c r="C427" s="26" t="s">
        <v>110</v>
      </c>
      <c r="D427" s="26" t="s">
        <v>685</v>
      </c>
      <c r="E427" s="21">
        <v>12508</v>
      </c>
      <c r="F427" s="21">
        <v>6202</v>
      </c>
      <c r="G427" s="21">
        <v>6306</v>
      </c>
      <c r="H427" s="21">
        <v>37.374949999999998</v>
      </c>
      <c r="I427" s="21">
        <v>-6.9701409999999999</v>
      </c>
      <c r="J427" s="21">
        <v>29.216069999999998</v>
      </c>
      <c r="O427" s="21" t="str">
        <f t="shared" si="9"/>
        <v/>
      </c>
      <c r="R427" s="26" t="s">
        <v>258</v>
      </c>
      <c r="S427" s="21">
        <v>854.08730000000003</v>
      </c>
    </row>
    <row r="428" spans="1:19" x14ac:dyDescent="0.25">
      <c r="A428" s="21">
        <v>427</v>
      </c>
      <c r="B428" s="26" t="s">
        <v>49</v>
      </c>
      <c r="C428" s="26" t="s">
        <v>111</v>
      </c>
      <c r="D428" s="26" t="s">
        <v>686</v>
      </c>
      <c r="E428" s="21">
        <v>202</v>
      </c>
      <c r="F428" s="21">
        <v>102</v>
      </c>
      <c r="G428" s="21">
        <v>100</v>
      </c>
      <c r="H428" s="21">
        <v>37.231560000000002</v>
      </c>
      <c r="I428" s="21">
        <v>-6.9182300000000003</v>
      </c>
      <c r="J428" s="21">
        <v>0</v>
      </c>
      <c r="O428" s="21" t="str">
        <f t="shared" si="9"/>
        <v/>
      </c>
      <c r="R428" s="26" t="s">
        <v>780</v>
      </c>
      <c r="S428" s="21">
        <v>736.21190000000001</v>
      </c>
    </row>
    <row r="429" spans="1:19" x14ac:dyDescent="0.25">
      <c r="A429" s="21">
        <v>428</v>
      </c>
      <c r="B429" s="26" t="s">
        <v>49</v>
      </c>
      <c r="C429" s="26" t="s">
        <v>112</v>
      </c>
      <c r="D429" s="26" t="s">
        <v>687</v>
      </c>
      <c r="E429" s="21">
        <v>540</v>
      </c>
      <c r="F429" s="21">
        <v>291</v>
      </c>
      <c r="G429" s="21">
        <v>249</v>
      </c>
      <c r="H429" s="21">
        <v>37.264690000000002</v>
      </c>
      <c r="I429" s="21">
        <v>-6.9269920000000003</v>
      </c>
      <c r="J429" s="21">
        <v>18.326560000000001</v>
      </c>
      <c r="O429" s="21" t="str">
        <f t="shared" ref="O429:O492" si="10">IFERROR(VLOOKUP($O$1,B429:D1201,3,FALSE),"")</f>
        <v/>
      </c>
      <c r="R429" s="26" t="s">
        <v>259</v>
      </c>
      <c r="S429" s="21">
        <v>910.98940000000005</v>
      </c>
    </row>
    <row r="430" spans="1:19" x14ac:dyDescent="0.25">
      <c r="A430" s="21">
        <v>429</v>
      </c>
      <c r="B430" s="26" t="s">
        <v>49</v>
      </c>
      <c r="C430" s="26" t="s">
        <v>113</v>
      </c>
      <c r="D430" s="26" t="s">
        <v>688</v>
      </c>
      <c r="E430" s="21">
        <v>1327</v>
      </c>
      <c r="F430" s="21">
        <v>681</v>
      </c>
      <c r="G430" s="21">
        <v>646</v>
      </c>
      <c r="H430" s="21">
        <v>37.838189999999997</v>
      </c>
      <c r="I430" s="21">
        <v>-6.4475790000000002</v>
      </c>
      <c r="J430" s="21">
        <v>627.31209999999999</v>
      </c>
      <c r="O430" s="21" t="str">
        <f t="shared" si="10"/>
        <v/>
      </c>
      <c r="R430" s="26" t="s">
        <v>980</v>
      </c>
      <c r="S430" s="21">
        <v>36.064039999999999</v>
      </c>
    </row>
    <row r="431" spans="1:19" x14ac:dyDescent="0.25">
      <c r="A431" s="21">
        <v>430</v>
      </c>
      <c r="B431" s="26" t="s">
        <v>49</v>
      </c>
      <c r="C431" s="26" t="s">
        <v>114</v>
      </c>
      <c r="D431" s="26" t="s">
        <v>689</v>
      </c>
      <c r="E431" s="21">
        <v>273</v>
      </c>
      <c r="F431" s="21">
        <v>132</v>
      </c>
      <c r="G431" s="21">
        <v>141</v>
      </c>
      <c r="H431" s="21">
        <v>38.008429999999997</v>
      </c>
      <c r="I431" s="21">
        <v>-6.5891469999999996</v>
      </c>
      <c r="J431" s="21">
        <v>615.30489999999998</v>
      </c>
      <c r="O431" s="21" t="str">
        <f t="shared" si="10"/>
        <v/>
      </c>
      <c r="R431" s="26" t="s">
        <v>580</v>
      </c>
      <c r="S431" s="21">
        <v>705.31489999999997</v>
      </c>
    </row>
    <row r="432" spans="1:19" x14ac:dyDescent="0.25">
      <c r="A432" s="21">
        <v>431</v>
      </c>
      <c r="B432" s="26" t="s">
        <v>49</v>
      </c>
      <c r="C432" s="26" t="s">
        <v>115</v>
      </c>
      <c r="D432" s="26" t="s">
        <v>690</v>
      </c>
      <c r="E432" s="21">
        <v>3862</v>
      </c>
      <c r="F432" s="21">
        <v>1942</v>
      </c>
      <c r="G432" s="21">
        <v>1920</v>
      </c>
      <c r="H432" s="21">
        <v>37.292729999999999</v>
      </c>
      <c r="I432" s="21">
        <v>-6.3762530000000002</v>
      </c>
      <c r="J432" s="21">
        <v>83.665030000000002</v>
      </c>
      <c r="O432" s="21" t="str">
        <f t="shared" si="10"/>
        <v/>
      </c>
      <c r="R432" s="26" t="s">
        <v>581</v>
      </c>
      <c r="S432" s="21">
        <v>638.01279999999997</v>
      </c>
    </row>
    <row r="433" spans="1:19" x14ac:dyDescent="0.25">
      <c r="A433" s="21">
        <v>432</v>
      </c>
      <c r="B433" s="26" t="s">
        <v>49</v>
      </c>
      <c r="C433" s="26" t="s">
        <v>116</v>
      </c>
      <c r="D433" s="26" t="s">
        <v>49</v>
      </c>
      <c r="E433" s="21">
        <v>146318</v>
      </c>
      <c r="F433" s="21">
        <v>70283</v>
      </c>
      <c r="G433" s="21">
        <v>76035</v>
      </c>
      <c r="H433" s="21">
        <v>37.257100000000001</v>
      </c>
      <c r="I433" s="21">
        <v>-6.9495550000000001</v>
      </c>
      <c r="J433" s="21">
        <v>20.744140000000002</v>
      </c>
      <c r="O433" s="21" t="str">
        <f t="shared" si="10"/>
        <v/>
      </c>
      <c r="R433" s="26" t="s">
        <v>693</v>
      </c>
      <c r="S433" s="21">
        <v>24.535900000000002</v>
      </c>
    </row>
    <row r="434" spans="1:19" x14ac:dyDescent="0.25">
      <c r="A434" s="21">
        <v>433</v>
      </c>
      <c r="B434" s="26" t="s">
        <v>49</v>
      </c>
      <c r="C434" s="26" t="s">
        <v>117</v>
      </c>
      <c r="D434" s="26" t="s">
        <v>691</v>
      </c>
      <c r="E434" s="21">
        <v>21193</v>
      </c>
      <c r="F434" s="21">
        <v>10515</v>
      </c>
      <c r="G434" s="21">
        <v>10678</v>
      </c>
      <c r="H434" s="21">
        <v>37.19943</v>
      </c>
      <c r="I434" s="21">
        <v>-7.3252459999999999</v>
      </c>
      <c r="J434" s="21">
        <v>6.3367740000000001</v>
      </c>
      <c r="O434" s="21" t="str">
        <f t="shared" si="10"/>
        <v/>
      </c>
      <c r="R434" s="26" t="s">
        <v>260</v>
      </c>
      <c r="S434" s="21">
        <v>593.49649999999997</v>
      </c>
    </row>
    <row r="435" spans="1:19" x14ac:dyDescent="0.25">
      <c r="A435" s="21">
        <v>434</v>
      </c>
      <c r="B435" s="26" t="s">
        <v>49</v>
      </c>
      <c r="C435" s="26" t="s">
        <v>118</v>
      </c>
      <c r="D435" s="26" t="s">
        <v>692</v>
      </c>
      <c r="E435" s="21">
        <v>2267</v>
      </c>
      <c r="F435" s="21">
        <v>1146</v>
      </c>
      <c r="G435" s="21">
        <v>1121</v>
      </c>
      <c r="H435" s="21">
        <v>37.916710000000002</v>
      </c>
      <c r="I435" s="21">
        <v>-6.7290780000000003</v>
      </c>
      <c r="J435" s="21">
        <v>658.24289999999996</v>
      </c>
      <c r="O435" s="21" t="str">
        <f t="shared" si="10"/>
        <v/>
      </c>
      <c r="R435" s="26" t="s">
        <v>781</v>
      </c>
      <c r="S435" s="21">
        <v>410.82499999999999</v>
      </c>
    </row>
    <row r="436" spans="1:19" x14ac:dyDescent="0.25">
      <c r="A436" s="21">
        <v>435</v>
      </c>
      <c r="B436" s="26" t="s">
        <v>49</v>
      </c>
      <c r="C436" s="26" t="s">
        <v>119</v>
      </c>
      <c r="D436" s="26" t="s">
        <v>693</v>
      </c>
      <c r="E436" s="21">
        <v>27675</v>
      </c>
      <c r="F436" s="21">
        <v>14051</v>
      </c>
      <c r="G436" s="21">
        <v>13624</v>
      </c>
      <c r="H436" s="21">
        <v>37.25432</v>
      </c>
      <c r="I436" s="21">
        <v>-7.2033480000000001</v>
      </c>
      <c r="J436" s="21">
        <v>24.535900000000002</v>
      </c>
      <c r="O436" s="21" t="str">
        <f t="shared" si="10"/>
        <v/>
      </c>
      <c r="R436" s="26" t="s">
        <v>694</v>
      </c>
      <c r="S436" s="21">
        <v>490.76560000000001</v>
      </c>
    </row>
    <row r="437" spans="1:19" x14ac:dyDescent="0.25">
      <c r="A437" s="21">
        <v>436</v>
      </c>
      <c r="B437" s="26" t="s">
        <v>49</v>
      </c>
      <c r="C437" s="26" t="s">
        <v>120</v>
      </c>
      <c r="D437" s="26" t="s">
        <v>694</v>
      </c>
      <c r="E437" s="21">
        <v>272</v>
      </c>
      <c r="F437" s="21">
        <v>140</v>
      </c>
      <c r="G437" s="21">
        <v>132</v>
      </c>
      <c r="H437" s="21">
        <v>37.880090000000003</v>
      </c>
      <c r="I437" s="21">
        <v>-6.6210019999999998</v>
      </c>
      <c r="J437" s="21">
        <v>490.76560000000001</v>
      </c>
      <c r="O437" s="21" t="str">
        <f t="shared" si="10"/>
        <v/>
      </c>
      <c r="R437" s="26" t="s">
        <v>386</v>
      </c>
      <c r="S437" s="21">
        <v>10.4049</v>
      </c>
    </row>
    <row r="438" spans="1:19" x14ac:dyDescent="0.25">
      <c r="A438" s="21">
        <v>437</v>
      </c>
      <c r="B438" s="26" t="s">
        <v>49</v>
      </c>
      <c r="C438" s="26" t="s">
        <v>121</v>
      </c>
      <c r="D438" s="26" t="s">
        <v>695</v>
      </c>
      <c r="E438" s="21">
        <v>3046</v>
      </c>
      <c r="F438" s="21">
        <v>1599</v>
      </c>
      <c r="G438" s="21">
        <v>1447</v>
      </c>
      <c r="H438" s="21">
        <v>37.303939999999997</v>
      </c>
      <c r="I438" s="21">
        <v>-6.730086</v>
      </c>
      <c r="J438" s="21">
        <v>83.685379999999995</v>
      </c>
      <c r="O438" s="21" t="str">
        <f t="shared" si="10"/>
        <v/>
      </c>
      <c r="R438" s="26" t="s">
        <v>582</v>
      </c>
      <c r="S438" s="21">
        <v>917.72360000000003</v>
      </c>
    </row>
    <row r="439" spans="1:19" x14ac:dyDescent="0.25">
      <c r="A439" s="21">
        <v>438</v>
      </c>
      <c r="B439" s="26" t="s">
        <v>49</v>
      </c>
      <c r="C439" s="26" t="s">
        <v>122</v>
      </c>
      <c r="D439" s="26" t="s">
        <v>696</v>
      </c>
      <c r="E439" s="21">
        <v>2108</v>
      </c>
      <c r="F439" s="21">
        <v>1065</v>
      </c>
      <c r="G439" s="21">
        <v>1043</v>
      </c>
      <c r="H439" s="21">
        <v>37.387729999999998</v>
      </c>
      <c r="I439" s="21">
        <v>-6.4294219999999997</v>
      </c>
      <c r="J439" s="21">
        <v>163.72890000000001</v>
      </c>
      <c r="O439" s="21" t="str">
        <f t="shared" si="10"/>
        <v/>
      </c>
      <c r="R439" s="26" t="s">
        <v>583</v>
      </c>
      <c r="S439" s="21">
        <v>456.73110000000003</v>
      </c>
    </row>
    <row r="440" spans="1:19" x14ac:dyDescent="0.25">
      <c r="A440" s="21">
        <v>439</v>
      </c>
      <c r="B440" s="26" t="s">
        <v>49</v>
      </c>
      <c r="C440" s="26" t="s">
        <v>123</v>
      </c>
      <c r="D440" s="26" t="s">
        <v>697</v>
      </c>
      <c r="E440" s="21">
        <v>273</v>
      </c>
      <c r="F440" s="21">
        <v>136</v>
      </c>
      <c r="G440" s="21">
        <v>137</v>
      </c>
      <c r="H440" s="21">
        <v>37.903030000000001</v>
      </c>
      <c r="I440" s="21">
        <v>-6.6233199999999997</v>
      </c>
      <c r="J440" s="21">
        <v>723.57600000000002</v>
      </c>
      <c r="O440" s="21" t="str">
        <f t="shared" si="10"/>
        <v/>
      </c>
      <c r="R440" s="26" t="s">
        <v>782</v>
      </c>
      <c r="S440" s="21">
        <v>272.2022</v>
      </c>
    </row>
    <row r="441" spans="1:19" x14ac:dyDescent="0.25">
      <c r="A441" s="21">
        <v>440</v>
      </c>
      <c r="B441" s="26" t="s">
        <v>49</v>
      </c>
      <c r="C441" s="26" t="s">
        <v>124</v>
      </c>
      <c r="D441" s="26" t="s">
        <v>698</v>
      </c>
      <c r="E441" s="21">
        <v>4063</v>
      </c>
      <c r="F441" s="21">
        <v>1967</v>
      </c>
      <c r="G441" s="21">
        <v>2096</v>
      </c>
      <c r="H441" s="21">
        <v>37.693910000000002</v>
      </c>
      <c r="I441" s="21">
        <v>-6.5918479999999997</v>
      </c>
      <c r="J441" s="21">
        <v>417.64339999999999</v>
      </c>
      <c r="O441" s="21" t="str">
        <f t="shared" si="10"/>
        <v/>
      </c>
      <c r="R441" s="26" t="s">
        <v>981</v>
      </c>
      <c r="S441" s="21">
        <v>447.55959999999999</v>
      </c>
    </row>
    <row r="442" spans="1:19" x14ac:dyDescent="0.25">
      <c r="A442" s="21">
        <v>441</v>
      </c>
      <c r="B442" s="26" t="s">
        <v>49</v>
      </c>
      <c r="C442" s="26" t="s">
        <v>125</v>
      </c>
      <c r="D442" s="26" t="s">
        <v>699</v>
      </c>
      <c r="E442" s="21">
        <v>21383</v>
      </c>
      <c r="F442" s="21">
        <v>10636</v>
      </c>
      <c r="G442" s="21">
        <v>10747</v>
      </c>
      <c r="H442" s="21">
        <v>37.27469</v>
      </c>
      <c r="I442" s="21">
        <v>-6.8365910000000003</v>
      </c>
      <c r="J442" s="21">
        <v>53.911009999999997</v>
      </c>
      <c r="O442" s="21" t="str">
        <f t="shared" si="10"/>
        <v/>
      </c>
      <c r="R442" s="26" t="s">
        <v>982</v>
      </c>
      <c r="S442" s="21">
        <v>42.946359999999999</v>
      </c>
    </row>
    <row r="443" spans="1:19" x14ac:dyDescent="0.25">
      <c r="A443" s="21">
        <v>442</v>
      </c>
      <c r="B443" s="26" t="s">
        <v>49</v>
      </c>
      <c r="C443" s="26" t="s">
        <v>126</v>
      </c>
      <c r="D443" s="26" t="s">
        <v>700</v>
      </c>
      <c r="E443" s="21">
        <v>289</v>
      </c>
      <c r="F443" s="21">
        <v>145</v>
      </c>
      <c r="G443" s="21">
        <v>144</v>
      </c>
      <c r="H443" s="21">
        <v>37.963419999999999</v>
      </c>
      <c r="I443" s="21">
        <v>-6.7457459999999996</v>
      </c>
      <c r="J443" s="21">
        <v>424.02330000000001</v>
      </c>
      <c r="O443" s="21" t="str">
        <f t="shared" si="10"/>
        <v/>
      </c>
      <c r="R443" s="26" t="s">
        <v>261</v>
      </c>
      <c r="S443" s="21">
        <v>521.52030000000002</v>
      </c>
    </row>
    <row r="444" spans="1:19" x14ac:dyDescent="0.25">
      <c r="A444" s="21">
        <v>443</v>
      </c>
      <c r="B444" s="26" t="s">
        <v>49</v>
      </c>
      <c r="C444" s="26" t="s">
        <v>127</v>
      </c>
      <c r="D444" s="26" t="s">
        <v>701</v>
      </c>
      <c r="E444" s="21">
        <v>5514</v>
      </c>
      <c r="F444" s="21">
        <v>2656</v>
      </c>
      <c r="G444" s="21">
        <v>2858</v>
      </c>
      <c r="H444" s="21">
        <v>37.69511</v>
      </c>
      <c r="I444" s="21">
        <v>-6.5506320000000002</v>
      </c>
      <c r="J444" s="21">
        <v>336.92520000000002</v>
      </c>
      <c r="O444" s="21" t="str">
        <f t="shared" si="10"/>
        <v/>
      </c>
      <c r="R444" s="26" t="s">
        <v>262</v>
      </c>
      <c r="S444" s="21">
        <v>533.87519999999995</v>
      </c>
    </row>
    <row r="445" spans="1:19" x14ac:dyDescent="0.25">
      <c r="A445" s="21">
        <v>444</v>
      </c>
      <c r="B445" s="26" t="s">
        <v>49</v>
      </c>
      <c r="C445" s="26" t="s">
        <v>128</v>
      </c>
      <c r="D445" s="26" t="s">
        <v>702</v>
      </c>
      <c r="E445" s="21">
        <v>3999</v>
      </c>
      <c r="F445" s="21">
        <v>2015</v>
      </c>
      <c r="G445" s="21">
        <v>1984</v>
      </c>
      <c r="H445" s="21">
        <v>37.360100000000003</v>
      </c>
      <c r="I445" s="21">
        <v>-6.6791999999999998</v>
      </c>
      <c r="J445" s="21">
        <v>42.888359999999999</v>
      </c>
      <c r="O445" s="21" t="str">
        <f t="shared" si="10"/>
        <v/>
      </c>
      <c r="R445" s="26" t="s">
        <v>263</v>
      </c>
      <c r="S445" s="21">
        <v>901.75300000000004</v>
      </c>
    </row>
    <row r="446" spans="1:19" x14ac:dyDescent="0.25">
      <c r="A446" s="21">
        <v>445</v>
      </c>
      <c r="B446" s="26" t="s">
        <v>49</v>
      </c>
      <c r="C446" s="26" t="s">
        <v>129</v>
      </c>
      <c r="D446" s="26" t="s">
        <v>703</v>
      </c>
      <c r="E446" s="21">
        <v>10662</v>
      </c>
      <c r="F446" s="21">
        <v>5327</v>
      </c>
      <c r="G446" s="21">
        <v>5335</v>
      </c>
      <c r="H446" s="21">
        <v>37.387839999999997</v>
      </c>
      <c r="I446" s="21">
        <v>-6.5533999999999999</v>
      </c>
      <c r="J446" s="21">
        <v>96.010580000000004</v>
      </c>
      <c r="O446" s="21" t="str">
        <f t="shared" si="10"/>
        <v/>
      </c>
      <c r="R446" s="26" t="s">
        <v>444</v>
      </c>
      <c r="S446" s="21">
        <v>494.17649999999998</v>
      </c>
    </row>
    <row r="447" spans="1:19" x14ac:dyDescent="0.25">
      <c r="A447" s="21">
        <v>446</v>
      </c>
      <c r="B447" s="26" t="s">
        <v>49</v>
      </c>
      <c r="C447" s="26" t="s">
        <v>130</v>
      </c>
      <c r="D447" s="26" t="s">
        <v>704</v>
      </c>
      <c r="E447" s="21">
        <v>10365</v>
      </c>
      <c r="F447" s="21">
        <v>5178</v>
      </c>
      <c r="G447" s="21">
        <v>5187</v>
      </c>
      <c r="H447" s="21">
        <v>37.228200000000001</v>
      </c>
      <c r="I447" s="21">
        <v>-6.8934259999999998</v>
      </c>
      <c r="J447" s="21">
        <v>29.092289999999998</v>
      </c>
      <c r="O447" s="21" t="str">
        <f t="shared" si="10"/>
        <v/>
      </c>
      <c r="R447" s="26" t="s">
        <v>695</v>
      </c>
      <c r="S447" s="21">
        <v>83.685379999999995</v>
      </c>
    </row>
    <row r="448" spans="1:19" x14ac:dyDescent="0.25">
      <c r="A448" s="21">
        <v>447</v>
      </c>
      <c r="B448" s="26" t="s">
        <v>49</v>
      </c>
      <c r="C448" s="26" t="s">
        <v>131</v>
      </c>
      <c r="D448" s="26" t="s">
        <v>705</v>
      </c>
      <c r="E448" s="21">
        <v>3554</v>
      </c>
      <c r="F448" s="21">
        <v>1802</v>
      </c>
      <c r="G448" s="21">
        <v>1752</v>
      </c>
      <c r="H448" s="21">
        <v>37.420960000000001</v>
      </c>
      <c r="I448" s="21">
        <v>-6.4014309999999996</v>
      </c>
      <c r="J448" s="21">
        <v>184.3562</v>
      </c>
      <c r="O448" s="21" t="str">
        <f t="shared" si="10"/>
        <v/>
      </c>
      <c r="R448" s="26" t="s">
        <v>584</v>
      </c>
      <c r="S448" s="21">
        <v>1241.42</v>
      </c>
    </row>
    <row r="449" spans="1:19" x14ac:dyDescent="0.25">
      <c r="A449" s="21">
        <v>448</v>
      </c>
      <c r="B449" s="26" t="s">
        <v>49</v>
      </c>
      <c r="C449" s="26" t="s">
        <v>132</v>
      </c>
      <c r="D449" s="26" t="s">
        <v>706</v>
      </c>
      <c r="E449" s="21">
        <v>1238</v>
      </c>
      <c r="F449" s="21">
        <v>623</v>
      </c>
      <c r="G449" s="21">
        <v>615</v>
      </c>
      <c r="H449" s="21">
        <v>37.740630000000003</v>
      </c>
      <c r="I449" s="21">
        <v>-7.3459940000000001</v>
      </c>
      <c r="J449" s="21">
        <v>180.5523</v>
      </c>
      <c r="O449" s="21" t="str">
        <f t="shared" si="10"/>
        <v/>
      </c>
      <c r="R449" s="26" t="s">
        <v>983</v>
      </c>
      <c r="S449" s="21">
        <v>170.00399999999999</v>
      </c>
    </row>
    <row r="450" spans="1:19" x14ac:dyDescent="0.25">
      <c r="A450" s="21">
        <v>449</v>
      </c>
      <c r="B450" s="26" t="s">
        <v>49</v>
      </c>
      <c r="C450" s="26" t="s">
        <v>133</v>
      </c>
      <c r="D450" s="26" t="s">
        <v>707</v>
      </c>
      <c r="E450" s="21">
        <v>3143</v>
      </c>
      <c r="F450" s="21">
        <v>1619</v>
      </c>
      <c r="G450" s="21">
        <v>1524</v>
      </c>
      <c r="H450" s="21">
        <v>37.611440000000002</v>
      </c>
      <c r="I450" s="21">
        <v>-7.2458309999999999</v>
      </c>
      <c r="J450" s="21">
        <v>212.8246</v>
      </c>
      <c r="O450" s="21" t="str">
        <f t="shared" si="10"/>
        <v/>
      </c>
      <c r="R450" s="26" t="s">
        <v>585</v>
      </c>
      <c r="S450" s="21">
        <v>509.90370000000001</v>
      </c>
    </row>
    <row r="451" spans="1:19" x14ac:dyDescent="0.25">
      <c r="A451" s="21">
        <v>450</v>
      </c>
      <c r="B451" s="26" t="s">
        <v>49</v>
      </c>
      <c r="C451" s="26" t="s">
        <v>135</v>
      </c>
      <c r="D451" s="26" t="s">
        <v>708</v>
      </c>
      <c r="E451" s="21">
        <v>288</v>
      </c>
      <c r="F451" s="21">
        <v>142</v>
      </c>
      <c r="G451" s="21">
        <v>146</v>
      </c>
      <c r="H451" s="21">
        <v>37.89208</v>
      </c>
      <c r="I451" s="21">
        <v>-6.4787699999999999</v>
      </c>
      <c r="J451" s="21">
        <v>519.94619999999998</v>
      </c>
      <c r="O451" s="21" t="str">
        <f t="shared" si="10"/>
        <v/>
      </c>
      <c r="R451" s="26" t="s">
        <v>783</v>
      </c>
      <c r="S451" s="21">
        <v>500.9033</v>
      </c>
    </row>
    <row r="452" spans="1:19" x14ac:dyDescent="0.25">
      <c r="A452" s="21">
        <v>451</v>
      </c>
      <c r="B452" s="26" t="s">
        <v>49</v>
      </c>
      <c r="C452" s="26" t="s">
        <v>134</v>
      </c>
      <c r="D452" s="26" t="s">
        <v>709</v>
      </c>
      <c r="E452" s="21">
        <v>14996</v>
      </c>
      <c r="F452" s="21">
        <v>7619</v>
      </c>
      <c r="G452" s="21">
        <v>7377</v>
      </c>
      <c r="H452" s="21">
        <v>37.182479999999998</v>
      </c>
      <c r="I452" s="21">
        <v>-6.9671479999999999</v>
      </c>
      <c r="J452" s="21">
        <v>7.5011599999999996</v>
      </c>
      <c r="O452" s="21" t="str">
        <f t="shared" si="10"/>
        <v/>
      </c>
      <c r="R452" s="26" t="s">
        <v>445</v>
      </c>
      <c r="S452" s="21">
        <v>662.4076</v>
      </c>
    </row>
    <row r="453" spans="1:19" x14ac:dyDescent="0.25">
      <c r="A453" s="21">
        <v>452</v>
      </c>
      <c r="B453" s="26" t="s">
        <v>49</v>
      </c>
      <c r="C453" s="26" t="s">
        <v>136</v>
      </c>
      <c r="D453" s="26" t="s">
        <v>710</v>
      </c>
      <c r="E453" s="21">
        <v>7643</v>
      </c>
      <c r="F453" s="21">
        <v>3844</v>
      </c>
      <c r="G453" s="21">
        <v>3799</v>
      </c>
      <c r="H453" s="21">
        <v>37.307810000000003</v>
      </c>
      <c r="I453" s="21">
        <v>-6.5986719999999996</v>
      </c>
      <c r="J453" s="21">
        <v>97.398480000000006</v>
      </c>
      <c r="O453" s="21" t="str">
        <f t="shared" si="10"/>
        <v/>
      </c>
      <c r="R453" s="26" t="s">
        <v>264</v>
      </c>
      <c r="S453" s="21">
        <v>538.73270000000002</v>
      </c>
    </row>
    <row r="454" spans="1:19" x14ac:dyDescent="0.25">
      <c r="A454" s="21">
        <v>453</v>
      </c>
      <c r="B454" s="26" t="s">
        <v>49</v>
      </c>
      <c r="C454" s="26" t="s">
        <v>137</v>
      </c>
      <c r="D454" s="26" t="s">
        <v>711</v>
      </c>
      <c r="E454" s="21">
        <v>1750</v>
      </c>
      <c r="F454" s="21">
        <v>881</v>
      </c>
      <c r="G454" s="21">
        <v>869</v>
      </c>
      <c r="H454" s="21">
        <v>37.967799999999997</v>
      </c>
      <c r="I454" s="21">
        <v>-7.2205269999999997</v>
      </c>
      <c r="J454" s="21">
        <v>221.47790000000001</v>
      </c>
      <c r="O454" s="21" t="str">
        <f t="shared" si="10"/>
        <v/>
      </c>
      <c r="R454" s="26" t="s">
        <v>890</v>
      </c>
      <c r="S454" s="21">
        <v>232.85300000000001</v>
      </c>
    </row>
    <row r="455" spans="1:19" x14ac:dyDescent="0.25">
      <c r="A455" s="21">
        <v>454</v>
      </c>
      <c r="B455" s="26" t="s">
        <v>49</v>
      </c>
      <c r="C455" s="26" t="s">
        <v>139</v>
      </c>
      <c r="D455" s="26" t="s">
        <v>712</v>
      </c>
      <c r="E455" s="21">
        <v>3608</v>
      </c>
      <c r="F455" s="21">
        <v>1813</v>
      </c>
      <c r="G455" s="21">
        <v>1795</v>
      </c>
      <c r="H455" s="21">
        <v>37.445959999999999</v>
      </c>
      <c r="I455" s="21">
        <v>-7.1066830000000003</v>
      </c>
      <c r="J455" s="21">
        <v>131.22540000000001</v>
      </c>
      <c r="O455" s="21" t="str">
        <f t="shared" si="10"/>
        <v/>
      </c>
      <c r="R455" s="26" t="s">
        <v>984</v>
      </c>
      <c r="S455" s="21">
        <v>357.12270000000001</v>
      </c>
    </row>
    <row r="456" spans="1:19" x14ac:dyDescent="0.25">
      <c r="A456" s="21">
        <v>455</v>
      </c>
      <c r="B456" s="26" t="s">
        <v>49</v>
      </c>
      <c r="C456" s="26" t="s">
        <v>140</v>
      </c>
      <c r="D456" s="26" t="s">
        <v>713</v>
      </c>
      <c r="E456" s="21">
        <v>8832</v>
      </c>
      <c r="F456" s="21">
        <v>4448</v>
      </c>
      <c r="G456" s="21">
        <v>4384</v>
      </c>
      <c r="H456" s="21">
        <v>37.314160000000001</v>
      </c>
      <c r="I456" s="21">
        <v>-6.8407840000000002</v>
      </c>
      <c r="J456" s="21">
        <v>8</v>
      </c>
      <c r="O456" s="21" t="str">
        <f t="shared" si="10"/>
        <v/>
      </c>
      <c r="R456" s="26" t="s">
        <v>985</v>
      </c>
      <c r="S456" s="21">
        <v>131.10659999999999</v>
      </c>
    </row>
    <row r="457" spans="1:19" x14ac:dyDescent="0.25">
      <c r="A457" s="21">
        <v>456</v>
      </c>
      <c r="B457" s="26" t="s">
        <v>49</v>
      </c>
      <c r="C457" s="26" t="s">
        <v>142</v>
      </c>
      <c r="D457" s="26" t="s">
        <v>714</v>
      </c>
      <c r="E457" s="21">
        <v>634</v>
      </c>
      <c r="F457" s="21">
        <v>347</v>
      </c>
      <c r="G457" s="21">
        <v>287</v>
      </c>
      <c r="H457" s="21">
        <v>37.388399999999997</v>
      </c>
      <c r="I457" s="21">
        <v>-7.3503049999999996</v>
      </c>
      <c r="J457" s="21">
        <v>152.81379999999999</v>
      </c>
      <c r="O457" s="21" t="str">
        <f t="shared" si="10"/>
        <v/>
      </c>
      <c r="R457" s="26" t="s">
        <v>986</v>
      </c>
      <c r="S457" s="21">
        <v>67.954909999999998</v>
      </c>
    </row>
    <row r="458" spans="1:19" x14ac:dyDescent="0.25">
      <c r="A458" s="21">
        <v>457</v>
      </c>
      <c r="B458" s="26" t="s">
        <v>49</v>
      </c>
      <c r="C458" s="26" t="s">
        <v>141</v>
      </c>
      <c r="D458" s="26" t="s">
        <v>715</v>
      </c>
      <c r="E458" s="21">
        <v>443</v>
      </c>
      <c r="F458" s="21">
        <v>224</v>
      </c>
      <c r="G458" s="21">
        <v>219</v>
      </c>
      <c r="H458" s="21">
        <v>37.473179999999999</v>
      </c>
      <c r="I458" s="21">
        <v>-7.4678610000000001</v>
      </c>
      <c r="J458" s="21">
        <v>15.387029999999999</v>
      </c>
      <c r="O458" s="21" t="str">
        <f t="shared" si="10"/>
        <v/>
      </c>
      <c r="R458" s="26" t="s">
        <v>53</v>
      </c>
      <c r="S458" s="21">
        <v>20.765879999999999</v>
      </c>
    </row>
    <row r="459" spans="1:19" x14ac:dyDescent="0.25">
      <c r="A459" s="21">
        <v>458</v>
      </c>
      <c r="B459" s="26" t="s">
        <v>49</v>
      </c>
      <c r="C459" s="26" t="s">
        <v>143</v>
      </c>
      <c r="D459" s="26" t="s">
        <v>716</v>
      </c>
      <c r="E459" s="21">
        <v>523</v>
      </c>
      <c r="F459" s="21">
        <v>240</v>
      </c>
      <c r="G459" s="21">
        <v>283</v>
      </c>
      <c r="H459" s="21">
        <v>37.863959999999999</v>
      </c>
      <c r="I459" s="21">
        <v>-6.7244450000000002</v>
      </c>
      <c r="J459" s="21">
        <v>637.69479999999999</v>
      </c>
      <c r="O459" s="21" t="str">
        <f t="shared" si="10"/>
        <v/>
      </c>
      <c r="R459" s="26" t="s">
        <v>586</v>
      </c>
      <c r="S459" s="21">
        <v>709.61599999999999</v>
      </c>
    </row>
    <row r="460" spans="1:19" x14ac:dyDescent="0.25">
      <c r="A460" s="21">
        <v>459</v>
      </c>
      <c r="B460" s="26" t="s">
        <v>49</v>
      </c>
      <c r="C460" s="26" t="s">
        <v>144</v>
      </c>
      <c r="D460" s="26" t="s">
        <v>717</v>
      </c>
      <c r="E460" s="21">
        <v>1113</v>
      </c>
      <c r="F460" s="21">
        <v>552</v>
      </c>
      <c r="G460" s="21">
        <v>561</v>
      </c>
      <c r="H460" s="21">
        <v>37.796550000000003</v>
      </c>
      <c r="I460" s="21">
        <v>-7.1886330000000003</v>
      </c>
      <c r="J460" s="21">
        <v>310.5924</v>
      </c>
      <c r="O460" s="21" t="str">
        <f t="shared" si="10"/>
        <v/>
      </c>
      <c r="R460" s="26" t="s">
        <v>784</v>
      </c>
      <c r="S460" s="21">
        <v>759.8338</v>
      </c>
    </row>
    <row r="461" spans="1:19" x14ac:dyDescent="0.25">
      <c r="A461" s="21">
        <v>460</v>
      </c>
      <c r="B461" s="26" t="s">
        <v>49</v>
      </c>
      <c r="C461" s="26" t="s">
        <v>145</v>
      </c>
      <c r="D461" s="26" t="s">
        <v>718</v>
      </c>
      <c r="E461" s="21">
        <v>2010</v>
      </c>
      <c r="F461" s="21">
        <v>1033</v>
      </c>
      <c r="G461" s="21">
        <v>977</v>
      </c>
      <c r="H461" s="21">
        <v>37.906509999999997</v>
      </c>
      <c r="I461" s="21">
        <v>-6.2296170000000002</v>
      </c>
      <c r="J461" s="21">
        <v>518.62260000000003</v>
      </c>
      <c r="O461" s="21" t="str">
        <f t="shared" si="10"/>
        <v/>
      </c>
      <c r="R461" s="26" t="s">
        <v>891</v>
      </c>
      <c r="S461" s="21">
        <v>135.0445</v>
      </c>
    </row>
    <row r="462" spans="1:19" x14ac:dyDescent="0.25">
      <c r="A462" s="21">
        <v>461</v>
      </c>
      <c r="B462" s="26" t="s">
        <v>49</v>
      </c>
      <c r="C462" s="26" t="s">
        <v>146</v>
      </c>
      <c r="D462" s="26" t="s">
        <v>719</v>
      </c>
      <c r="E462" s="21">
        <v>7746</v>
      </c>
      <c r="F462" s="21">
        <v>3830</v>
      </c>
      <c r="G462" s="21">
        <v>3916</v>
      </c>
      <c r="H462" s="21">
        <v>37.383189999999999</v>
      </c>
      <c r="I462" s="21">
        <v>-6.8337519999999996</v>
      </c>
      <c r="J462" s="21">
        <v>78.589129999999997</v>
      </c>
      <c r="O462" s="21" t="str">
        <f t="shared" si="10"/>
        <v/>
      </c>
      <c r="R462" s="26" t="s">
        <v>696</v>
      </c>
      <c r="S462" s="21">
        <v>163.72890000000001</v>
      </c>
    </row>
    <row r="463" spans="1:19" x14ac:dyDescent="0.25">
      <c r="A463" s="21">
        <v>462</v>
      </c>
      <c r="B463" s="26" t="s">
        <v>49</v>
      </c>
      <c r="C463" s="26" t="s">
        <v>147</v>
      </c>
      <c r="D463" s="26" t="s">
        <v>720</v>
      </c>
      <c r="E463" s="21">
        <v>225</v>
      </c>
      <c r="F463" s="21">
        <v>109</v>
      </c>
      <c r="G463" s="21">
        <v>116</v>
      </c>
      <c r="H463" s="21">
        <v>37.95044</v>
      </c>
      <c r="I463" s="21">
        <v>-6.6832219999999998</v>
      </c>
      <c r="J463" s="21">
        <v>619.30449999999996</v>
      </c>
      <c r="O463" s="21" t="str">
        <f t="shared" si="10"/>
        <v/>
      </c>
      <c r="R463" s="26" t="s">
        <v>587</v>
      </c>
      <c r="S463" s="21">
        <v>649.40020000000004</v>
      </c>
    </row>
    <row r="464" spans="1:19" x14ac:dyDescent="0.25">
      <c r="A464" s="21">
        <v>463</v>
      </c>
      <c r="B464" s="26" t="s">
        <v>49</v>
      </c>
      <c r="C464" s="26" t="s">
        <v>148</v>
      </c>
      <c r="D464" s="26" t="s">
        <v>721</v>
      </c>
      <c r="E464" s="21">
        <v>12766</v>
      </c>
      <c r="F464" s="21">
        <v>6275</v>
      </c>
      <c r="G464" s="21">
        <v>6491</v>
      </c>
      <c r="H464" s="21">
        <v>37.573390000000003</v>
      </c>
      <c r="I464" s="21">
        <v>-6.7533760000000003</v>
      </c>
      <c r="J464" s="21">
        <v>282.47629999999998</v>
      </c>
      <c r="O464" s="21" t="str">
        <f t="shared" si="10"/>
        <v/>
      </c>
      <c r="R464" s="26" t="s">
        <v>892</v>
      </c>
      <c r="S464" s="21">
        <v>23.815809999999999</v>
      </c>
    </row>
    <row r="465" spans="1:19" x14ac:dyDescent="0.25">
      <c r="A465" s="21">
        <v>464</v>
      </c>
      <c r="B465" s="26" t="s">
        <v>49</v>
      </c>
      <c r="C465" s="26" t="s">
        <v>149</v>
      </c>
      <c r="D465" s="26" t="s">
        <v>722</v>
      </c>
      <c r="E465" s="21">
        <v>2880</v>
      </c>
      <c r="F465" s="21">
        <v>1440</v>
      </c>
      <c r="G465" s="21">
        <v>1440</v>
      </c>
      <c r="H465" s="21">
        <v>37.303730000000002</v>
      </c>
      <c r="I465" s="21">
        <v>-7.3419049999999997</v>
      </c>
      <c r="J465" s="21">
        <v>95.639740000000003</v>
      </c>
      <c r="O465" s="21" t="str">
        <f t="shared" si="10"/>
        <v/>
      </c>
      <c r="R465" s="26" t="s">
        <v>588</v>
      </c>
      <c r="S465" s="21">
        <v>926.44759999999997</v>
      </c>
    </row>
    <row r="466" spans="1:19" x14ac:dyDescent="0.25">
      <c r="A466" s="21">
        <v>465</v>
      </c>
      <c r="B466" s="26" t="s">
        <v>49</v>
      </c>
      <c r="C466" s="26" t="s">
        <v>150</v>
      </c>
      <c r="D466" s="26" t="s">
        <v>723</v>
      </c>
      <c r="E466" s="21">
        <v>3320</v>
      </c>
      <c r="F466" s="21">
        <v>1637</v>
      </c>
      <c r="G466" s="21">
        <v>1683</v>
      </c>
      <c r="H466" s="21">
        <v>37.397289999999998</v>
      </c>
      <c r="I466" s="21">
        <v>-6.4765949999999997</v>
      </c>
      <c r="J466" s="21">
        <v>161.80709999999999</v>
      </c>
      <c r="O466" s="21" t="str">
        <f t="shared" si="10"/>
        <v/>
      </c>
      <c r="R466" s="26" t="s">
        <v>987</v>
      </c>
      <c r="S466" s="21">
        <v>132.541</v>
      </c>
    </row>
    <row r="467" spans="1:19" x14ac:dyDescent="0.25">
      <c r="A467" s="21">
        <v>466</v>
      </c>
      <c r="B467" s="26" t="s">
        <v>49</v>
      </c>
      <c r="C467" s="26" t="s">
        <v>151</v>
      </c>
      <c r="D467" s="26" t="s">
        <v>724</v>
      </c>
      <c r="E467" s="21">
        <v>379</v>
      </c>
      <c r="F467" s="21">
        <v>184</v>
      </c>
      <c r="G467" s="21">
        <v>195</v>
      </c>
      <c r="H467" s="21">
        <v>37.62762</v>
      </c>
      <c r="I467" s="21">
        <v>-7.024521</v>
      </c>
      <c r="J467" s="21">
        <v>119.6258</v>
      </c>
      <c r="O467" s="21" t="str">
        <f t="shared" si="10"/>
        <v/>
      </c>
      <c r="R467" s="26" t="s">
        <v>265</v>
      </c>
      <c r="S467" s="21">
        <v>1196.4349999999999</v>
      </c>
    </row>
    <row r="468" spans="1:19" x14ac:dyDescent="0.25">
      <c r="A468" s="21">
        <v>467</v>
      </c>
      <c r="B468" s="26" t="s">
        <v>49</v>
      </c>
      <c r="C468" s="26" t="s">
        <v>152</v>
      </c>
      <c r="D468" s="26" t="s">
        <v>725</v>
      </c>
      <c r="E468" s="21">
        <v>2747</v>
      </c>
      <c r="F468" s="21">
        <v>1380</v>
      </c>
      <c r="G468" s="21">
        <v>1367</v>
      </c>
      <c r="H468" s="21">
        <v>37.500459999999997</v>
      </c>
      <c r="I468" s="21">
        <v>-7.272443</v>
      </c>
      <c r="J468" s="21">
        <v>225</v>
      </c>
      <c r="O468" s="21" t="str">
        <f t="shared" si="10"/>
        <v/>
      </c>
      <c r="R468" s="26" t="s">
        <v>988</v>
      </c>
      <c r="S468" s="21">
        <v>211.56780000000001</v>
      </c>
    </row>
    <row r="469" spans="1:19" x14ac:dyDescent="0.25">
      <c r="A469" s="21">
        <v>468</v>
      </c>
      <c r="B469" s="26" t="s">
        <v>49</v>
      </c>
      <c r="C469" s="26" t="s">
        <v>153</v>
      </c>
      <c r="D469" s="26" t="s">
        <v>726</v>
      </c>
      <c r="E469" s="21">
        <v>2162</v>
      </c>
      <c r="F469" s="21">
        <v>1097</v>
      </c>
      <c r="G469" s="21">
        <v>1065</v>
      </c>
      <c r="H469" s="21">
        <v>37.389449999999997</v>
      </c>
      <c r="I469" s="21">
        <v>-6.6069139999999997</v>
      </c>
      <c r="J469" s="21">
        <v>66.984089999999995</v>
      </c>
      <c r="O469" s="21" t="str">
        <f t="shared" si="10"/>
        <v/>
      </c>
      <c r="R469" s="26" t="s">
        <v>697</v>
      </c>
      <c r="S469" s="21">
        <v>723.57600000000002</v>
      </c>
    </row>
    <row r="470" spans="1:19" x14ac:dyDescent="0.25">
      <c r="A470" s="21">
        <v>469</v>
      </c>
      <c r="B470" s="26" t="s">
        <v>49</v>
      </c>
      <c r="C470" s="26" t="s">
        <v>154</v>
      </c>
      <c r="D470" s="26" t="s">
        <v>727</v>
      </c>
      <c r="E470" s="21">
        <v>3210</v>
      </c>
      <c r="F470" s="21">
        <v>1618</v>
      </c>
      <c r="G470" s="21">
        <v>1592</v>
      </c>
      <c r="H470" s="21">
        <v>37.678910000000002</v>
      </c>
      <c r="I470" s="21">
        <v>-6.6605780000000001</v>
      </c>
      <c r="J470" s="21">
        <v>409.54689999999999</v>
      </c>
      <c r="O470" s="21" t="str">
        <f t="shared" si="10"/>
        <v/>
      </c>
      <c r="R470" s="26" t="s">
        <v>785</v>
      </c>
      <c r="S470" s="21">
        <v>244.32589999999999</v>
      </c>
    </row>
    <row r="471" spans="1:19" x14ac:dyDescent="0.25">
      <c r="A471" s="21">
        <v>470</v>
      </c>
      <c r="B471" s="26" t="s">
        <v>49</v>
      </c>
      <c r="C471" s="26" t="s">
        <v>155</v>
      </c>
      <c r="D471" s="26" t="s">
        <v>728</v>
      </c>
      <c r="E471" s="21">
        <v>886</v>
      </c>
      <c r="F471" s="21">
        <v>452</v>
      </c>
      <c r="G471" s="21">
        <v>434</v>
      </c>
      <c r="H471" s="21">
        <v>37.833840000000002</v>
      </c>
      <c r="I471" s="21">
        <v>-6.3386129999999996</v>
      </c>
      <c r="J471" s="21">
        <v>441.52969999999999</v>
      </c>
      <c r="O471" s="21" t="str">
        <f t="shared" si="10"/>
        <v/>
      </c>
      <c r="R471" s="26" t="s">
        <v>989</v>
      </c>
      <c r="S471" s="21">
        <v>403.10300000000001</v>
      </c>
    </row>
    <row r="472" spans="1:19" x14ac:dyDescent="0.25">
      <c r="A472" s="21">
        <v>471</v>
      </c>
      <c r="B472" s="26" t="s">
        <v>50</v>
      </c>
      <c r="C472" s="26" t="s">
        <v>76</v>
      </c>
      <c r="D472" s="26" t="s">
        <v>729</v>
      </c>
      <c r="E472" s="21">
        <v>1186</v>
      </c>
      <c r="F472" s="21">
        <v>613</v>
      </c>
      <c r="G472" s="21">
        <v>573</v>
      </c>
      <c r="H472" s="21">
        <v>37.791649999999997</v>
      </c>
      <c r="I472" s="21">
        <v>-3.4682849999999998</v>
      </c>
      <c r="J472" s="21">
        <v>838.44960000000003</v>
      </c>
      <c r="O472" s="21" t="str">
        <f t="shared" si="10"/>
        <v/>
      </c>
      <c r="R472" s="26" t="s">
        <v>786</v>
      </c>
      <c r="S472" s="21">
        <v>739.37220000000002</v>
      </c>
    </row>
    <row r="473" spans="1:19" x14ac:dyDescent="0.25">
      <c r="A473" s="21">
        <v>472</v>
      </c>
      <c r="B473" s="26" t="s">
        <v>50</v>
      </c>
      <c r="C473" s="26" t="s">
        <v>77</v>
      </c>
      <c r="D473" s="26" t="s">
        <v>730</v>
      </c>
      <c r="E473" s="21">
        <v>22036</v>
      </c>
      <c r="F473" s="21">
        <v>10824</v>
      </c>
      <c r="G473" s="21">
        <v>11212</v>
      </c>
      <c r="H473" s="21">
        <v>37.46358</v>
      </c>
      <c r="I473" s="21">
        <v>-3.9250780000000001</v>
      </c>
      <c r="J473" s="21">
        <v>929.46979999999996</v>
      </c>
      <c r="O473" s="21" t="str">
        <f t="shared" si="10"/>
        <v/>
      </c>
      <c r="R473" s="26" t="s">
        <v>387</v>
      </c>
      <c r="S473" s="21">
        <v>246.03720000000001</v>
      </c>
    </row>
    <row r="474" spans="1:19" x14ac:dyDescent="0.25">
      <c r="A474" s="21">
        <v>473</v>
      </c>
      <c r="B474" s="26" t="s">
        <v>50</v>
      </c>
      <c r="C474" s="26" t="s">
        <v>78</v>
      </c>
      <c r="D474" s="26" t="s">
        <v>731</v>
      </c>
      <c r="E474" s="21">
        <v>10779</v>
      </c>
      <c r="F474" s="21">
        <v>5300</v>
      </c>
      <c r="G474" s="21">
        <v>5479</v>
      </c>
      <c r="H474" s="21">
        <v>37.591059999999999</v>
      </c>
      <c r="I474" s="21">
        <v>-4.086735</v>
      </c>
      <c r="J474" s="21">
        <v>660.81230000000005</v>
      </c>
      <c r="O474" s="21" t="str">
        <f t="shared" si="10"/>
        <v/>
      </c>
      <c r="R474" s="26" t="s">
        <v>787</v>
      </c>
      <c r="S474" s="21">
        <v>322.39819999999997</v>
      </c>
    </row>
    <row r="475" spans="1:19" x14ac:dyDescent="0.25">
      <c r="A475" s="21">
        <v>474</v>
      </c>
      <c r="B475" s="26" t="s">
        <v>50</v>
      </c>
      <c r="C475" s="26" t="s">
        <v>79</v>
      </c>
      <c r="D475" s="26" t="s">
        <v>732</v>
      </c>
      <c r="E475" s="21">
        <v>531</v>
      </c>
      <c r="F475" s="21">
        <v>280</v>
      </c>
      <c r="G475" s="21">
        <v>251</v>
      </c>
      <c r="H475" s="21">
        <v>38.411819999999999</v>
      </c>
      <c r="I475" s="21">
        <v>-3.3717739999999998</v>
      </c>
      <c r="J475" s="21">
        <v>700.27110000000005</v>
      </c>
      <c r="O475" s="21" t="str">
        <f t="shared" si="10"/>
        <v/>
      </c>
      <c r="R475" s="26" t="s">
        <v>893</v>
      </c>
      <c r="S475" s="21">
        <v>421.16430000000003</v>
      </c>
    </row>
    <row r="476" spans="1:19" x14ac:dyDescent="0.25">
      <c r="A476" s="21">
        <v>475</v>
      </c>
      <c r="B476" s="26" t="s">
        <v>50</v>
      </c>
      <c r="C476" s="26" t="s">
        <v>80</v>
      </c>
      <c r="D476" s="26" t="s">
        <v>733</v>
      </c>
      <c r="E476" s="21">
        <v>38246</v>
      </c>
      <c r="F476" s="21">
        <v>18832</v>
      </c>
      <c r="G476" s="21">
        <v>19414</v>
      </c>
      <c r="H476" s="21">
        <v>38.036749999999998</v>
      </c>
      <c r="I476" s="21">
        <v>-4.0543909999999999</v>
      </c>
      <c r="J476" s="21">
        <v>215.333</v>
      </c>
      <c r="O476" s="21" t="str">
        <f t="shared" si="10"/>
        <v/>
      </c>
      <c r="R476" s="26" t="s">
        <v>698</v>
      </c>
      <c r="S476" s="21">
        <v>417.64339999999999</v>
      </c>
    </row>
    <row r="477" spans="1:19" x14ac:dyDescent="0.25">
      <c r="A477" s="21">
        <v>476</v>
      </c>
      <c r="B477" s="26" t="s">
        <v>50</v>
      </c>
      <c r="C477" s="26" t="s">
        <v>81</v>
      </c>
      <c r="D477" s="26" t="s">
        <v>734</v>
      </c>
      <c r="E477" s="21">
        <v>5692</v>
      </c>
      <c r="F477" s="21">
        <v>2825</v>
      </c>
      <c r="G477" s="21">
        <v>2867</v>
      </c>
      <c r="H477" s="21">
        <v>37.936480000000003</v>
      </c>
      <c r="I477" s="21">
        <v>-4.0548909999999996</v>
      </c>
      <c r="J477" s="21">
        <v>436.5915</v>
      </c>
      <c r="O477" s="21" t="str">
        <f t="shared" si="10"/>
        <v/>
      </c>
      <c r="R477" s="26" t="s">
        <v>589</v>
      </c>
      <c r="S477" s="21">
        <v>1061.0820000000001</v>
      </c>
    </row>
    <row r="478" spans="1:19" x14ac:dyDescent="0.25">
      <c r="A478" s="21">
        <v>477</v>
      </c>
      <c r="B478" s="26" t="s">
        <v>50</v>
      </c>
      <c r="C478" s="26" t="s">
        <v>82</v>
      </c>
      <c r="D478" s="26" t="s">
        <v>735</v>
      </c>
      <c r="E478" s="21">
        <v>3729</v>
      </c>
      <c r="F478" s="21">
        <v>1867</v>
      </c>
      <c r="G478" s="21">
        <v>1862</v>
      </c>
      <c r="H478" s="21">
        <v>37.973550000000003</v>
      </c>
      <c r="I478" s="21">
        <v>-4.1070270000000004</v>
      </c>
      <c r="J478" s="21">
        <v>348.89100000000002</v>
      </c>
      <c r="O478" s="21" t="str">
        <f t="shared" si="10"/>
        <v/>
      </c>
      <c r="R478" s="26" t="s">
        <v>894</v>
      </c>
      <c r="S478" s="21">
        <v>443.12130000000002</v>
      </c>
    </row>
    <row r="479" spans="1:19" x14ac:dyDescent="0.25">
      <c r="A479" s="21">
        <v>478</v>
      </c>
      <c r="B479" s="26" t="s">
        <v>50</v>
      </c>
      <c r="C479" s="26" t="s">
        <v>83</v>
      </c>
      <c r="D479" s="26" t="s">
        <v>736</v>
      </c>
      <c r="E479" s="21">
        <v>1872</v>
      </c>
      <c r="F479" s="21">
        <v>929</v>
      </c>
      <c r="G479" s="21">
        <v>943</v>
      </c>
      <c r="H479" s="21">
        <v>38.182009999999998</v>
      </c>
      <c r="I479" s="21">
        <v>-3.4308860000000001</v>
      </c>
      <c r="J479" s="21">
        <v>382.30340000000001</v>
      </c>
      <c r="O479" s="21" t="str">
        <f t="shared" si="10"/>
        <v/>
      </c>
      <c r="R479" s="26" t="s">
        <v>699</v>
      </c>
      <c r="S479" s="21">
        <v>53.911009999999997</v>
      </c>
    </row>
    <row r="480" spans="1:19" x14ac:dyDescent="0.25">
      <c r="A480" s="21">
        <v>479</v>
      </c>
      <c r="B480" s="26" t="s">
        <v>50</v>
      </c>
      <c r="C480" s="26" t="s">
        <v>353</v>
      </c>
      <c r="D480" s="26" t="s">
        <v>737</v>
      </c>
      <c r="E480" s="21">
        <v>2373</v>
      </c>
      <c r="F480" s="21">
        <v>1203</v>
      </c>
      <c r="G480" s="21">
        <v>1170</v>
      </c>
      <c r="H480" s="21">
        <v>38.320920000000001</v>
      </c>
      <c r="I480" s="21">
        <v>-2.8949790000000002</v>
      </c>
      <c r="J480" s="21">
        <v>540.23050000000001</v>
      </c>
      <c r="O480" s="21" t="str">
        <f t="shared" si="10"/>
        <v/>
      </c>
      <c r="R480" s="26" t="s">
        <v>266</v>
      </c>
      <c r="S480" s="21">
        <v>165.05969999999999</v>
      </c>
    </row>
    <row r="481" spans="1:19" x14ac:dyDescent="0.25">
      <c r="A481" s="21">
        <v>480</v>
      </c>
      <c r="B481" s="26" t="s">
        <v>50</v>
      </c>
      <c r="C481" s="26" t="s">
        <v>84</v>
      </c>
      <c r="D481" s="26" t="s">
        <v>738</v>
      </c>
      <c r="E481" s="21">
        <v>16163</v>
      </c>
      <c r="F481" s="21">
        <v>8012</v>
      </c>
      <c r="G481" s="21">
        <v>8151</v>
      </c>
      <c r="H481" s="21">
        <v>37.993429999999996</v>
      </c>
      <c r="I481" s="21">
        <v>-3.4692370000000001</v>
      </c>
      <c r="J481" s="21">
        <v>759.47500000000002</v>
      </c>
      <c r="O481" s="21" t="str">
        <f t="shared" si="10"/>
        <v/>
      </c>
      <c r="R481" s="26" t="s">
        <v>267</v>
      </c>
      <c r="S481" s="21">
        <v>41.25403</v>
      </c>
    </row>
    <row r="482" spans="1:19" x14ac:dyDescent="0.25">
      <c r="A482" s="21">
        <v>481</v>
      </c>
      <c r="B482" s="26" t="s">
        <v>50</v>
      </c>
      <c r="C482" s="26" t="s">
        <v>85</v>
      </c>
      <c r="D482" s="26" t="s">
        <v>739</v>
      </c>
      <c r="E482" s="21">
        <v>18243</v>
      </c>
      <c r="F482" s="21">
        <v>9087</v>
      </c>
      <c r="G482" s="21">
        <v>9156</v>
      </c>
      <c r="H482" s="21">
        <v>38.095880000000001</v>
      </c>
      <c r="I482" s="21">
        <v>-3.7748590000000002</v>
      </c>
      <c r="J482" s="21">
        <v>350.99900000000002</v>
      </c>
      <c r="O482" s="21" t="str">
        <f t="shared" si="10"/>
        <v/>
      </c>
      <c r="R482" s="26" t="s">
        <v>990</v>
      </c>
      <c r="S482" s="21">
        <v>78.48339</v>
      </c>
    </row>
    <row r="483" spans="1:19" x14ac:dyDescent="0.25">
      <c r="A483" s="21">
        <v>482</v>
      </c>
      <c r="B483" s="26" t="s">
        <v>50</v>
      </c>
      <c r="C483" s="26" t="s">
        <v>86</v>
      </c>
      <c r="D483" s="26" t="s">
        <v>740</v>
      </c>
      <c r="E483" s="21">
        <v>2672</v>
      </c>
      <c r="F483" s="21">
        <v>1364</v>
      </c>
      <c r="G483" s="21">
        <v>1308</v>
      </c>
      <c r="H483" s="21">
        <v>38.171329999999998</v>
      </c>
      <c r="I483" s="21">
        <v>-3.7742580000000001</v>
      </c>
      <c r="J483" s="21">
        <v>419.48919999999998</v>
      </c>
      <c r="O483" s="21" t="str">
        <f t="shared" si="10"/>
        <v/>
      </c>
      <c r="R483" s="26" t="s">
        <v>895</v>
      </c>
      <c r="S483" s="21">
        <v>476.19119999999998</v>
      </c>
    </row>
    <row r="484" spans="1:19" x14ac:dyDescent="0.25">
      <c r="A484" s="21">
        <v>483</v>
      </c>
      <c r="B484" s="26" t="s">
        <v>50</v>
      </c>
      <c r="C484" s="26" t="s">
        <v>87</v>
      </c>
      <c r="D484" s="26" t="s">
        <v>741</v>
      </c>
      <c r="E484" s="21">
        <v>5439</v>
      </c>
      <c r="F484" s="21">
        <v>2820</v>
      </c>
      <c r="G484" s="21">
        <v>2619</v>
      </c>
      <c r="H484" s="21">
        <v>38.252380000000002</v>
      </c>
      <c r="I484" s="21">
        <v>-2.8898830000000002</v>
      </c>
      <c r="J484" s="21">
        <v>581.13469999999995</v>
      </c>
      <c r="O484" s="21" t="str">
        <f t="shared" si="10"/>
        <v/>
      </c>
      <c r="R484" s="26" t="s">
        <v>590</v>
      </c>
      <c r="S484" s="21">
        <v>239.2467</v>
      </c>
    </row>
    <row r="485" spans="1:19" x14ac:dyDescent="0.25">
      <c r="A485" s="21">
        <v>484</v>
      </c>
      <c r="B485" s="26" t="s">
        <v>50</v>
      </c>
      <c r="C485" s="26" t="s">
        <v>180</v>
      </c>
      <c r="D485" s="26" t="s">
        <v>742</v>
      </c>
      <c r="E485" s="21">
        <v>2871</v>
      </c>
      <c r="F485" s="21">
        <v>1421</v>
      </c>
      <c r="G485" s="21">
        <v>1450</v>
      </c>
      <c r="H485" s="21">
        <v>37.822710000000001</v>
      </c>
      <c r="I485" s="21">
        <v>-3.4117609999999998</v>
      </c>
      <c r="J485" s="21">
        <v>645.46879999999999</v>
      </c>
      <c r="O485" s="21" t="str">
        <f t="shared" si="10"/>
        <v/>
      </c>
      <c r="R485" s="26" t="s">
        <v>591</v>
      </c>
      <c r="S485" s="21">
        <v>811.2473</v>
      </c>
    </row>
    <row r="486" spans="1:19" x14ac:dyDescent="0.25">
      <c r="A486" s="21">
        <v>485</v>
      </c>
      <c r="B486" s="26" t="s">
        <v>50</v>
      </c>
      <c r="C486" s="26" t="s">
        <v>88</v>
      </c>
      <c r="D486" s="26" t="s">
        <v>743</v>
      </c>
      <c r="E486" s="21">
        <v>3133</v>
      </c>
      <c r="F486" s="21">
        <v>1575</v>
      </c>
      <c r="G486" s="21">
        <v>1558</v>
      </c>
      <c r="H486" s="21">
        <v>37.984520000000003</v>
      </c>
      <c r="I486" s="21">
        <v>-3.5348299999999999</v>
      </c>
      <c r="J486" s="21">
        <v>556.92520000000002</v>
      </c>
      <c r="O486" s="21" t="str">
        <f t="shared" si="10"/>
        <v/>
      </c>
      <c r="R486" s="26" t="s">
        <v>896</v>
      </c>
      <c r="S486" s="21">
        <v>359.94819999999999</v>
      </c>
    </row>
    <row r="487" spans="1:19" x14ac:dyDescent="0.25">
      <c r="A487" s="21">
        <v>486</v>
      </c>
      <c r="B487" s="26" t="s">
        <v>50</v>
      </c>
      <c r="C487" s="26" t="s">
        <v>90</v>
      </c>
      <c r="D487" s="26" t="s">
        <v>744</v>
      </c>
      <c r="E487" s="21">
        <v>1693</v>
      </c>
      <c r="F487" s="21">
        <v>836</v>
      </c>
      <c r="G487" s="21">
        <v>857</v>
      </c>
      <c r="H487" s="21">
        <v>37.7239</v>
      </c>
      <c r="I487" s="21">
        <v>-3.3822199999999998</v>
      </c>
      <c r="J487" s="21">
        <v>863.72879999999998</v>
      </c>
      <c r="O487" s="21" t="str">
        <f t="shared" si="10"/>
        <v/>
      </c>
      <c r="R487" s="26" t="s">
        <v>446</v>
      </c>
      <c r="S487" s="21">
        <v>277.85629999999998</v>
      </c>
    </row>
    <row r="488" spans="1:19" x14ac:dyDescent="0.25">
      <c r="A488" s="21">
        <v>487</v>
      </c>
      <c r="B488" s="26" t="s">
        <v>50</v>
      </c>
      <c r="C488" s="26" t="s">
        <v>91</v>
      </c>
      <c r="D488" s="26" t="s">
        <v>745</v>
      </c>
      <c r="E488" s="21">
        <v>487</v>
      </c>
      <c r="F488" s="21">
        <v>255</v>
      </c>
      <c r="G488" s="21">
        <v>232</v>
      </c>
      <c r="H488" s="21">
        <v>38.35257</v>
      </c>
      <c r="I488" s="21">
        <v>-2.6508660000000002</v>
      </c>
      <c r="J488" s="21">
        <v>854.92319999999995</v>
      </c>
      <c r="O488" s="21" t="str">
        <f t="shared" si="10"/>
        <v/>
      </c>
      <c r="R488" s="26" t="s">
        <v>592</v>
      </c>
      <c r="S488" s="21">
        <v>835.13610000000006</v>
      </c>
    </row>
    <row r="489" spans="1:19" x14ac:dyDescent="0.25">
      <c r="A489" s="21">
        <v>488</v>
      </c>
      <c r="B489" s="26" t="s">
        <v>50</v>
      </c>
      <c r="C489" s="26" t="s">
        <v>92</v>
      </c>
      <c r="D489" s="26" t="s">
        <v>746</v>
      </c>
      <c r="E489" s="21">
        <v>1937</v>
      </c>
      <c r="F489" s="21">
        <v>1021</v>
      </c>
      <c r="G489" s="21">
        <v>916</v>
      </c>
      <c r="H489" s="21">
        <v>37.705350000000003</v>
      </c>
      <c r="I489" s="21">
        <v>-3.286108</v>
      </c>
      <c r="J489" s="21">
        <v>946.84749999999997</v>
      </c>
      <c r="O489" s="21" t="str">
        <f t="shared" si="10"/>
        <v/>
      </c>
      <c r="R489" s="26" t="s">
        <v>897</v>
      </c>
      <c r="S489" s="21">
        <v>696.32429999999999</v>
      </c>
    </row>
    <row r="490" spans="1:19" x14ac:dyDescent="0.25">
      <c r="A490" s="21">
        <v>489</v>
      </c>
      <c r="B490" s="26" t="s">
        <v>50</v>
      </c>
      <c r="C490" s="26" t="s">
        <v>93</v>
      </c>
      <c r="D490" s="26" t="s">
        <v>747</v>
      </c>
      <c r="E490" s="21">
        <v>2857</v>
      </c>
      <c r="F490" s="21">
        <v>1480</v>
      </c>
      <c r="G490" s="21">
        <v>1377</v>
      </c>
      <c r="H490" s="21">
        <v>37.676909999999999</v>
      </c>
      <c r="I490" s="21">
        <v>-3.5656270000000001</v>
      </c>
      <c r="J490" s="21">
        <v>766.17049999999995</v>
      </c>
      <c r="O490" s="21" t="str">
        <f t="shared" si="10"/>
        <v/>
      </c>
      <c r="R490" s="26" t="s">
        <v>593</v>
      </c>
      <c r="S490" s="21">
        <v>1145.2940000000001</v>
      </c>
    </row>
    <row r="491" spans="1:19" x14ac:dyDescent="0.25">
      <c r="A491" s="21">
        <v>490</v>
      </c>
      <c r="B491" s="26" t="s">
        <v>50</v>
      </c>
      <c r="C491" s="26" t="s">
        <v>94</v>
      </c>
      <c r="D491" s="26" t="s">
        <v>748</v>
      </c>
      <c r="E491" s="21">
        <v>1941</v>
      </c>
      <c r="F491" s="21">
        <v>1016</v>
      </c>
      <c r="G491" s="21">
        <v>925</v>
      </c>
      <c r="H491" s="21">
        <v>37.555929999999996</v>
      </c>
      <c r="I491" s="21">
        <v>-3.6357889999999999</v>
      </c>
      <c r="J491" s="21">
        <v>873.84439999999995</v>
      </c>
      <c r="O491" s="21" t="str">
        <f t="shared" si="10"/>
        <v/>
      </c>
      <c r="R491" s="26" t="s">
        <v>991</v>
      </c>
      <c r="S491" s="21">
        <v>270.64179999999999</v>
      </c>
    </row>
    <row r="492" spans="1:19" x14ac:dyDescent="0.25">
      <c r="A492" s="21">
        <v>491</v>
      </c>
      <c r="B492" s="26" t="s">
        <v>50</v>
      </c>
      <c r="C492" s="26" t="s">
        <v>95</v>
      </c>
      <c r="D492" s="26" t="s">
        <v>749</v>
      </c>
      <c r="E492" s="21">
        <v>1959</v>
      </c>
      <c r="F492" s="21">
        <v>996</v>
      </c>
      <c r="G492" s="21">
        <v>963</v>
      </c>
      <c r="H492" s="21">
        <v>38.048679999999997</v>
      </c>
      <c r="I492" s="21">
        <v>-3.4821719999999998</v>
      </c>
      <c r="J492" s="21">
        <v>522.58069999999998</v>
      </c>
      <c r="O492" s="21" t="str">
        <f t="shared" si="10"/>
        <v/>
      </c>
      <c r="R492" s="26" t="s">
        <v>447</v>
      </c>
      <c r="S492" s="21">
        <v>386.18700000000001</v>
      </c>
    </row>
    <row r="493" spans="1:19" x14ac:dyDescent="0.25">
      <c r="A493" s="21">
        <v>492</v>
      </c>
      <c r="B493" s="26" t="s">
        <v>50</v>
      </c>
      <c r="C493" s="26" t="s">
        <v>96</v>
      </c>
      <c r="D493" s="26" t="s">
        <v>750</v>
      </c>
      <c r="E493" s="21">
        <v>641</v>
      </c>
      <c r="F493" s="21">
        <v>331</v>
      </c>
      <c r="G493" s="21">
        <v>310</v>
      </c>
      <c r="H493" s="21">
        <v>38.229520000000001</v>
      </c>
      <c r="I493" s="21">
        <v>-3.6315219999999999</v>
      </c>
      <c r="J493" s="21">
        <v>403.3349</v>
      </c>
      <c r="O493" s="21" t="str">
        <f t="shared" ref="O493:O556" si="11">IFERROR(VLOOKUP($O$1,B493:D1265,3,FALSE),"")</f>
        <v/>
      </c>
      <c r="R493" s="26" t="s">
        <v>448</v>
      </c>
      <c r="S493" s="21">
        <v>385.77910000000003</v>
      </c>
    </row>
    <row r="494" spans="1:19" x14ac:dyDescent="0.25">
      <c r="A494" s="21">
        <v>493</v>
      </c>
      <c r="B494" s="26" t="s">
        <v>50</v>
      </c>
      <c r="C494" s="26" t="s">
        <v>138</v>
      </c>
      <c r="D494" s="26" t="s">
        <v>751</v>
      </c>
      <c r="E494" s="21">
        <v>1425</v>
      </c>
      <c r="F494" s="21">
        <v>740</v>
      </c>
      <c r="G494" s="21">
        <v>685</v>
      </c>
      <c r="H494" s="21">
        <v>37.653300000000002</v>
      </c>
      <c r="I494" s="21">
        <v>-3.635799</v>
      </c>
      <c r="J494" s="21">
        <v>797.90110000000004</v>
      </c>
      <c r="O494" s="21" t="str">
        <f t="shared" si="11"/>
        <v/>
      </c>
      <c r="R494" s="26" t="s">
        <v>594</v>
      </c>
      <c r="S494" s="21">
        <v>1019.378</v>
      </c>
    </row>
    <row r="495" spans="1:19" x14ac:dyDescent="0.25">
      <c r="A495" s="21">
        <v>494</v>
      </c>
      <c r="B495" s="26" t="s">
        <v>50</v>
      </c>
      <c r="C495" s="26" t="s">
        <v>99</v>
      </c>
      <c r="D495" s="26" t="s">
        <v>752</v>
      </c>
      <c r="E495" s="21">
        <v>15673</v>
      </c>
      <c r="F495" s="21">
        <v>7738</v>
      </c>
      <c r="G495" s="21">
        <v>7935</v>
      </c>
      <c r="H495" s="21">
        <v>38.274679999999996</v>
      </c>
      <c r="I495" s="21">
        <v>-3.6154120000000001</v>
      </c>
      <c r="J495" s="21">
        <v>598.452</v>
      </c>
      <c r="O495" s="21" t="str">
        <f t="shared" si="11"/>
        <v/>
      </c>
      <c r="R495" s="26" t="s">
        <v>788</v>
      </c>
      <c r="S495" s="21">
        <v>644.21090000000004</v>
      </c>
    </row>
    <row r="496" spans="1:19" x14ac:dyDescent="0.25">
      <c r="A496" s="21">
        <v>495</v>
      </c>
      <c r="B496" s="26" t="s">
        <v>50</v>
      </c>
      <c r="C496" s="26" t="s">
        <v>100</v>
      </c>
      <c r="D496" s="26" t="s">
        <v>753</v>
      </c>
      <c r="E496" s="21">
        <v>3440</v>
      </c>
      <c r="F496" s="21">
        <v>1724</v>
      </c>
      <c r="G496" s="21">
        <v>1716</v>
      </c>
      <c r="H496" s="21">
        <v>38.256210000000003</v>
      </c>
      <c r="I496" s="21">
        <v>-3.1319249999999998</v>
      </c>
      <c r="J496" s="21">
        <v>755.19619999999998</v>
      </c>
      <c r="O496" s="21" t="str">
        <f t="shared" si="11"/>
        <v/>
      </c>
      <c r="R496" s="26" t="s">
        <v>449</v>
      </c>
      <c r="S496" s="21">
        <v>201.32900000000001</v>
      </c>
    </row>
    <row r="497" spans="1:19" x14ac:dyDescent="0.25">
      <c r="A497" s="21">
        <v>496</v>
      </c>
      <c r="B497" s="26" t="s">
        <v>50</v>
      </c>
      <c r="C497" s="26" t="s">
        <v>101</v>
      </c>
      <c r="D497" s="26" t="s">
        <v>754</v>
      </c>
      <c r="E497" s="21">
        <v>4293</v>
      </c>
      <c r="F497" s="21">
        <v>2114</v>
      </c>
      <c r="G497" s="21">
        <v>2179</v>
      </c>
      <c r="H497" s="21">
        <v>37.528260000000003</v>
      </c>
      <c r="I497" s="21">
        <v>-3.9436779999999998</v>
      </c>
      <c r="J497" s="21">
        <v>702.9443</v>
      </c>
      <c r="O497" s="21" t="str">
        <f t="shared" si="11"/>
        <v/>
      </c>
      <c r="R497" s="26" t="s">
        <v>450</v>
      </c>
      <c r="S497" s="21">
        <v>376.99950000000001</v>
      </c>
    </row>
    <row r="498" spans="1:19" x14ac:dyDescent="0.25">
      <c r="A498" s="21">
        <v>497</v>
      </c>
      <c r="B498" s="26" t="s">
        <v>50</v>
      </c>
      <c r="C498" s="26" t="s">
        <v>103</v>
      </c>
      <c r="D498" s="26" t="s">
        <v>755</v>
      </c>
      <c r="E498" s="21">
        <v>872</v>
      </c>
      <c r="F498" s="21">
        <v>426</v>
      </c>
      <c r="G498" s="21">
        <v>446</v>
      </c>
      <c r="H498" s="21">
        <v>37.9846</v>
      </c>
      <c r="I498" s="21">
        <v>-3.882231</v>
      </c>
      <c r="J498" s="21">
        <v>299.44799999999998</v>
      </c>
      <c r="O498" s="21" t="str">
        <f t="shared" si="11"/>
        <v/>
      </c>
      <c r="R498" s="26" t="s">
        <v>595</v>
      </c>
      <c r="S498" s="21">
        <v>621.86339999999996</v>
      </c>
    </row>
    <row r="499" spans="1:19" x14ac:dyDescent="0.25">
      <c r="A499" s="21">
        <v>498</v>
      </c>
      <c r="B499" s="26" t="s">
        <v>50</v>
      </c>
      <c r="C499" s="26" t="s">
        <v>104</v>
      </c>
      <c r="D499" s="26" t="s">
        <v>756</v>
      </c>
      <c r="E499" s="21">
        <v>7692</v>
      </c>
      <c r="F499" s="21">
        <v>3730</v>
      </c>
      <c r="G499" s="21">
        <v>3962</v>
      </c>
      <c r="H499" s="21">
        <v>37.910550000000001</v>
      </c>
      <c r="I499" s="21">
        <v>-3.002167</v>
      </c>
      <c r="J499" s="21">
        <v>803.9982</v>
      </c>
      <c r="O499" s="21" t="str">
        <f t="shared" si="11"/>
        <v/>
      </c>
      <c r="R499" s="26" t="s">
        <v>596</v>
      </c>
      <c r="S499" s="21">
        <v>1023.947</v>
      </c>
    </row>
    <row r="500" spans="1:19" x14ac:dyDescent="0.25">
      <c r="A500" s="21">
        <v>499</v>
      </c>
      <c r="B500" s="26" t="s">
        <v>50</v>
      </c>
      <c r="C500" s="26" t="s">
        <v>102</v>
      </c>
      <c r="D500" s="26" t="s">
        <v>757</v>
      </c>
      <c r="E500" s="21">
        <v>1023</v>
      </c>
      <c r="F500" s="21">
        <v>506</v>
      </c>
      <c r="G500" s="21">
        <v>517</v>
      </c>
      <c r="H500" s="21">
        <v>38.31147</v>
      </c>
      <c r="I500" s="21">
        <v>-3.0421879999999999</v>
      </c>
      <c r="J500" s="21">
        <v>849.22339999999997</v>
      </c>
      <c r="O500" s="21" t="str">
        <f t="shared" si="11"/>
        <v/>
      </c>
      <c r="R500" s="26" t="s">
        <v>451</v>
      </c>
      <c r="S500" s="21">
        <v>379.15010000000001</v>
      </c>
    </row>
    <row r="501" spans="1:19" x14ac:dyDescent="0.25">
      <c r="A501" s="21">
        <v>500</v>
      </c>
      <c r="B501" s="26" t="s">
        <v>50</v>
      </c>
      <c r="C501" s="26" t="s">
        <v>105</v>
      </c>
      <c r="D501" s="26" t="s">
        <v>758</v>
      </c>
      <c r="E501" s="21">
        <v>1509</v>
      </c>
      <c r="F501" s="21">
        <v>739</v>
      </c>
      <c r="G501" s="21">
        <v>770</v>
      </c>
      <c r="H501" s="21">
        <v>38.001060000000003</v>
      </c>
      <c r="I501" s="21">
        <v>-3.0310990000000002</v>
      </c>
      <c r="J501" s="21">
        <v>731.59029999999996</v>
      </c>
      <c r="O501" s="21" t="str">
        <f t="shared" si="11"/>
        <v/>
      </c>
      <c r="R501" s="26" t="s">
        <v>992</v>
      </c>
      <c r="S501" s="21">
        <v>231.42670000000001</v>
      </c>
    </row>
    <row r="502" spans="1:19" x14ac:dyDescent="0.25">
      <c r="A502" s="21">
        <v>501</v>
      </c>
      <c r="B502" s="26" t="s">
        <v>50</v>
      </c>
      <c r="C502" s="26" t="s">
        <v>106</v>
      </c>
      <c r="D502" s="26" t="s">
        <v>759</v>
      </c>
      <c r="E502" s="21">
        <v>953</v>
      </c>
      <c r="F502" s="21">
        <v>485</v>
      </c>
      <c r="G502" s="21">
        <v>468</v>
      </c>
      <c r="H502" s="21">
        <v>37.878720000000001</v>
      </c>
      <c r="I502" s="21">
        <v>-4.0332809999999997</v>
      </c>
      <c r="J502" s="21">
        <v>319.12369999999999</v>
      </c>
      <c r="O502" s="21" t="str">
        <f t="shared" si="11"/>
        <v/>
      </c>
      <c r="R502" s="26" t="s">
        <v>597</v>
      </c>
      <c r="S502" s="21">
        <v>41.484369999999998</v>
      </c>
    </row>
    <row r="503" spans="1:19" x14ac:dyDescent="0.25">
      <c r="A503" s="21">
        <v>502</v>
      </c>
      <c r="B503" s="26" t="s">
        <v>50</v>
      </c>
      <c r="C503" s="26" t="s">
        <v>107</v>
      </c>
      <c r="D503" s="26" t="s">
        <v>760</v>
      </c>
      <c r="E503" s="21">
        <v>699</v>
      </c>
      <c r="F503" s="21">
        <v>346</v>
      </c>
      <c r="G503" s="21">
        <v>353</v>
      </c>
      <c r="H503" s="21">
        <v>38.033079999999998</v>
      </c>
      <c r="I503" s="21">
        <v>-3.861802</v>
      </c>
      <c r="J503" s="21">
        <v>279.35840000000002</v>
      </c>
      <c r="O503" s="21" t="str">
        <f t="shared" si="11"/>
        <v/>
      </c>
      <c r="R503" s="26" t="s">
        <v>598</v>
      </c>
      <c r="S503" s="21">
        <v>1134.923</v>
      </c>
    </row>
    <row r="504" spans="1:19" x14ac:dyDescent="0.25">
      <c r="A504" s="21">
        <v>503</v>
      </c>
      <c r="B504" s="26" t="s">
        <v>50</v>
      </c>
      <c r="C504" s="26" t="s">
        <v>108</v>
      </c>
      <c r="D504" s="26" t="s">
        <v>761</v>
      </c>
      <c r="E504" s="21">
        <v>1651</v>
      </c>
      <c r="F504" s="21">
        <v>824</v>
      </c>
      <c r="G504" s="21">
        <v>827</v>
      </c>
      <c r="H504" s="21">
        <v>37.485149999999997</v>
      </c>
      <c r="I504" s="21">
        <v>-3.8382139999999998</v>
      </c>
      <c r="J504" s="21">
        <v>965.38210000000004</v>
      </c>
      <c r="O504" s="21" t="str">
        <f t="shared" si="11"/>
        <v/>
      </c>
      <c r="R504" s="26" t="s">
        <v>268</v>
      </c>
      <c r="S504" s="21">
        <v>596.89919999999995</v>
      </c>
    </row>
    <row r="505" spans="1:19" x14ac:dyDescent="0.25">
      <c r="A505" s="21">
        <v>504</v>
      </c>
      <c r="B505" s="26" t="s">
        <v>50</v>
      </c>
      <c r="C505" s="26" t="s">
        <v>109</v>
      </c>
      <c r="D505" s="26" t="s">
        <v>762</v>
      </c>
      <c r="E505" s="21">
        <v>3160</v>
      </c>
      <c r="F505" s="21">
        <v>1558</v>
      </c>
      <c r="G505" s="21">
        <v>1602</v>
      </c>
      <c r="H505" s="21">
        <v>37.647840000000002</v>
      </c>
      <c r="I505" s="21">
        <v>-3.9060000000000001</v>
      </c>
      <c r="J505" s="21">
        <v>739.03269999999998</v>
      </c>
      <c r="O505" s="21" t="str">
        <f t="shared" si="11"/>
        <v/>
      </c>
      <c r="R505" s="26" t="s">
        <v>700</v>
      </c>
      <c r="S505" s="21">
        <v>424.02330000000001</v>
      </c>
    </row>
    <row r="506" spans="1:19" x14ac:dyDescent="0.25">
      <c r="A506" s="21">
        <v>505</v>
      </c>
      <c r="B506" s="26" t="s">
        <v>50</v>
      </c>
      <c r="C506" s="26" t="s">
        <v>110</v>
      </c>
      <c r="D506" s="26" t="s">
        <v>763</v>
      </c>
      <c r="E506" s="21">
        <v>1409</v>
      </c>
      <c r="F506" s="21">
        <v>723</v>
      </c>
      <c r="G506" s="21">
        <v>686</v>
      </c>
      <c r="H506" s="21">
        <v>37.873959999999997</v>
      </c>
      <c r="I506" s="21">
        <v>-3.8845890000000001</v>
      </c>
      <c r="J506" s="21">
        <v>436.62720000000002</v>
      </c>
      <c r="O506" s="21" t="str">
        <f t="shared" si="11"/>
        <v/>
      </c>
      <c r="R506" s="26" t="s">
        <v>993</v>
      </c>
      <c r="S506" s="21">
        <v>433.02679999999998</v>
      </c>
    </row>
    <row r="507" spans="1:19" x14ac:dyDescent="0.25">
      <c r="A507" s="21">
        <v>506</v>
      </c>
      <c r="B507" s="26" t="s">
        <v>50</v>
      </c>
      <c r="C507" s="26" t="s">
        <v>112</v>
      </c>
      <c r="D507" s="26" t="s">
        <v>764</v>
      </c>
      <c r="E507" s="21">
        <v>618</v>
      </c>
      <c r="F507" s="21">
        <v>335</v>
      </c>
      <c r="G507" s="21">
        <v>283</v>
      </c>
      <c r="H507" s="21">
        <v>38.430140000000002</v>
      </c>
      <c r="I507" s="21">
        <v>-2.7327659999999998</v>
      </c>
      <c r="J507" s="21">
        <v>828.01419999999996</v>
      </c>
      <c r="O507" s="21" t="str">
        <f t="shared" si="11"/>
        <v/>
      </c>
      <c r="R507" s="26" t="s">
        <v>789</v>
      </c>
      <c r="S507" s="21">
        <v>660.07870000000003</v>
      </c>
    </row>
    <row r="508" spans="1:19" x14ac:dyDescent="0.25">
      <c r="A508" s="21">
        <v>507</v>
      </c>
      <c r="B508" s="26" t="s">
        <v>50</v>
      </c>
      <c r="C508" s="26" t="s">
        <v>113</v>
      </c>
      <c r="D508" s="26" t="s">
        <v>765</v>
      </c>
      <c r="E508" s="21">
        <v>4832</v>
      </c>
      <c r="F508" s="21">
        <v>2449</v>
      </c>
      <c r="G508" s="21">
        <v>2383</v>
      </c>
      <c r="H508" s="21">
        <v>37.741639999999997</v>
      </c>
      <c r="I508" s="21">
        <v>-3.692717</v>
      </c>
      <c r="J508" s="21">
        <v>617.77980000000002</v>
      </c>
      <c r="O508" s="21" t="str">
        <f t="shared" si="11"/>
        <v/>
      </c>
      <c r="R508" s="26" t="s">
        <v>898</v>
      </c>
      <c r="S508" s="21">
        <v>25.004390000000001</v>
      </c>
    </row>
    <row r="509" spans="1:19" x14ac:dyDescent="0.25">
      <c r="A509" s="21">
        <v>508</v>
      </c>
      <c r="B509" s="26" t="s">
        <v>50</v>
      </c>
      <c r="C509" s="26" t="s">
        <v>114</v>
      </c>
      <c r="D509" s="26" t="s">
        <v>766</v>
      </c>
      <c r="E509" s="21">
        <v>2876</v>
      </c>
      <c r="F509" s="21">
        <v>1470</v>
      </c>
      <c r="G509" s="21">
        <v>1406</v>
      </c>
      <c r="H509" s="21">
        <v>38.181510000000003</v>
      </c>
      <c r="I509" s="21">
        <v>-3.6865009999999998</v>
      </c>
      <c r="J509" s="21">
        <v>348.12729999999999</v>
      </c>
      <c r="O509" s="21" t="str">
        <f t="shared" si="11"/>
        <v/>
      </c>
      <c r="R509" s="26" t="s">
        <v>701</v>
      </c>
      <c r="S509" s="21">
        <v>336.92520000000002</v>
      </c>
    </row>
    <row r="510" spans="1:19" x14ac:dyDescent="0.25">
      <c r="A510" s="21">
        <v>509</v>
      </c>
      <c r="B510" s="26" t="s">
        <v>50</v>
      </c>
      <c r="C510" s="26" t="s">
        <v>116</v>
      </c>
      <c r="D510" s="26" t="s">
        <v>767</v>
      </c>
      <c r="E510" s="21">
        <v>649</v>
      </c>
      <c r="F510" s="21">
        <v>341</v>
      </c>
      <c r="G510" s="21">
        <v>308</v>
      </c>
      <c r="H510" s="21">
        <v>37.796900000000001</v>
      </c>
      <c r="I510" s="21">
        <v>-4.1549449999999997</v>
      </c>
      <c r="J510" s="21">
        <v>327.06900000000002</v>
      </c>
      <c r="O510" s="21" t="str">
        <f t="shared" si="11"/>
        <v/>
      </c>
      <c r="R510" s="26" t="s">
        <v>599</v>
      </c>
      <c r="S510" s="21">
        <v>792.31259999999997</v>
      </c>
    </row>
    <row r="511" spans="1:19" x14ac:dyDescent="0.25">
      <c r="A511" s="21">
        <v>510</v>
      </c>
      <c r="B511" s="26" t="s">
        <v>50</v>
      </c>
      <c r="C511" s="26" t="s">
        <v>117</v>
      </c>
      <c r="D511" s="26" t="s">
        <v>768</v>
      </c>
      <c r="E511" s="21">
        <v>355</v>
      </c>
      <c r="F511" s="21">
        <v>186</v>
      </c>
      <c r="G511" s="21">
        <v>169</v>
      </c>
      <c r="H511" s="21">
        <v>37.71555</v>
      </c>
      <c r="I511" s="21">
        <v>-2.9992040000000002</v>
      </c>
      <c r="J511" s="21">
        <v>662.64679999999998</v>
      </c>
      <c r="O511" s="21" t="str">
        <f t="shared" si="11"/>
        <v/>
      </c>
      <c r="R511" s="26" t="s">
        <v>702</v>
      </c>
      <c r="S511" s="21">
        <v>42.888359999999999</v>
      </c>
    </row>
    <row r="512" spans="1:19" x14ac:dyDescent="0.25">
      <c r="A512" s="21">
        <v>511</v>
      </c>
      <c r="B512" s="26" t="s">
        <v>50</v>
      </c>
      <c r="C512" s="26" t="s">
        <v>118</v>
      </c>
      <c r="D512" s="26" t="s">
        <v>769</v>
      </c>
      <c r="E512" s="21">
        <v>657</v>
      </c>
      <c r="F512" s="21">
        <v>322</v>
      </c>
      <c r="G512" s="21">
        <v>335</v>
      </c>
      <c r="H512" s="21">
        <v>38.216790000000003</v>
      </c>
      <c r="I512" s="21">
        <v>-2.7202470000000001</v>
      </c>
      <c r="J512" s="21">
        <v>856.18790000000001</v>
      </c>
      <c r="O512" s="21" t="str">
        <f t="shared" si="11"/>
        <v/>
      </c>
      <c r="R512" s="26" t="s">
        <v>600</v>
      </c>
      <c r="S512" s="21">
        <v>927.87860000000001</v>
      </c>
    </row>
    <row r="513" spans="1:19" x14ac:dyDescent="0.25">
      <c r="A513" s="21">
        <v>512</v>
      </c>
      <c r="B513" s="26" t="s">
        <v>50</v>
      </c>
      <c r="C513" s="26" t="s">
        <v>119</v>
      </c>
      <c r="D513" s="26" t="s">
        <v>770</v>
      </c>
      <c r="E513" s="21">
        <v>6089</v>
      </c>
      <c r="F513" s="21">
        <v>3021</v>
      </c>
      <c r="G513" s="21">
        <v>3068</v>
      </c>
      <c r="H513" s="21">
        <v>37.645240000000001</v>
      </c>
      <c r="I513" s="21">
        <v>-3.4554279999999999</v>
      </c>
      <c r="J513" s="21">
        <v>957.85739999999998</v>
      </c>
      <c r="O513" s="21" t="str">
        <f t="shared" si="11"/>
        <v/>
      </c>
      <c r="R513" s="26" t="s">
        <v>269</v>
      </c>
      <c r="S513" s="21">
        <v>353.12479999999999</v>
      </c>
    </row>
    <row r="514" spans="1:19" x14ac:dyDescent="0.25">
      <c r="A514" s="21">
        <v>513</v>
      </c>
      <c r="B514" s="26" t="s">
        <v>50</v>
      </c>
      <c r="C514" s="26" t="s">
        <v>120</v>
      </c>
      <c r="D514" s="26" t="s">
        <v>771</v>
      </c>
      <c r="E514" s="21">
        <v>2584</v>
      </c>
      <c r="F514" s="21">
        <v>1301</v>
      </c>
      <c r="G514" s="21">
        <v>1283</v>
      </c>
      <c r="H514" s="21">
        <v>37.764110000000002</v>
      </c>
      <c r="I514" s="21">
        <v>-3.0781670000000001</v>
      </c>
      <c r="J514" s="21">
        <v>633.46879999999999</v>
      </c>
      <c r="O514" s="21" t="str">
        <f t="shared" si="11"/>
        <v/>
      </c>
      <c r="R514" s="26" t="s">
        <v>601</v>
      </c>
      <c r="S514" s="21">
        <v>1038.0309999999999</v>
      </c>
    </row>
    <row r="515" spans="1:19" x14ac:dyDescent="0.25">
      <c r="A515" s="21">
        <v>514</v>
      </c>
      <c r="B515" s="26" t="s">
        <v>50</v>
      </c>
      <c r="C515" s="26" t="s">
        <v>121</v>
      </c>
      <c r="D515" s="26" t="s">
        <v>772</v>
      </c>
      <c r="E515" s="21">
        <v>2973</v>
      </c>
      <c r="F515" s="21">
        <v>1475</v>
      </c>
      <c r="G515" s="21">
        <v>1498</v>
      </c>
      <c r="H515" s="21">
        <v>38.02261</v>
      </c>
      <c r="I515" s="21">
        <v>-3.5023749999999998</v>
      </c>
      <c r="J515" s="21">
        <v>595.42070000000001</v>
      </c>
      <c r="O515" s="21" t="str">
        <f t="shared" si="11"/>
        <v/>
      </c>
      <c r="R515" s="26" t="s">
        <v>790</v>
      </c>
      <c r="S515" s="21">
        <v>1090.6769999999999</v>
      </c>
    </row>
    <row r="516" spans="1:19" x14ac:dyDescent="0.25">
      <c r="A516" s="21">
        <v>515</v>
      </c>
      <c r="B516" s="26" t="s">
        <v>50</v>
      </c>
      <c r="C516" s="26" t="s">
        <v>122</v>
      </c>
      <c r="D516" s="26" t="s">
        <v>773</v>
      </c>
      <c r="E516" s="21">
        <v>1999</v>
      </c>
      <c r="F516" s="21">
        <v>988</v>
      </c>
      <c r="G516" s="21">
        <v>1011</v>
      </c>
      <c r="H516" s="21">
        <v>37.920380000000002</v>
      </c>
      <c r="I516" s="21">
        <v>-2.9939849999999999</v>
      </c>
      <c r="J516" s="21">
        <v>940.50699999999995</v>
      </c>
      <c r="O516" s="21" t="str">
        <f t="shared" si="11"/>
        <v/>
      </c>
      <c r="R516" s="26" t="s">
        <v>452</v>
      </c>
      <c r="S516" s="21">
        <v>444.76569999999998</v>
      </c>
    </row>
    <row r="517" spans="1:19" x14ac:dyDescent="0.25">
      <c r="A517" s="21">
        <v>516</v>
      </c>
      <c r="B517" s="26" t="s">
        <v>50</v>
      </c>
      <c r="C517" s="26" t="s">
        <v>123</v>
      </c>
      <c r="D517" s="26" t="s">
        <v>774</v>
      </c>
      <c r="E517" s="21">
        <v>1016</v>
      </c>
      <c r="F517" s="21">
        <v>537</v>
      </c>
      <c r="G517" s="21">
        <v>479</v>
      </c>
      <c r="H517" s="21">
        <v>38.157440000000001</v>
      </c>
      <c r="I517" s="21">
        <v>-3.0329139999999999</v>
      </c>
      <c r="J517" s="21">
        <v>1037.5909999999999</v>
      </c>
      <c r="O517" s="21" t="str">
        <f t="shared" si="11"/>
        <v/>
      </c>
      <c r="R517" s="26" t="s">
        <v>453</v>
      </c>
      <c r="S517" s="21">
        <v>692.86609999999996</v>
      </c>
    </row>
    <row r="518" spans="1:19" x14ac:dyDescent="0.25">
      <c r="A518" s="21">
        <v>517</v>
      </c>
      <c r="B518" s="26" t="s">
        <v>50</v>
      </c>
      <c r="C518" s="26" t="s">
        <v>124</v>
      </c>
      <c r="D518" s="26" t="s">
        <v>775</v>
      </c>
      <c r="E518" s="21">
        <v>2201</v>
      </c>
      <c r="F518" s="21">
        <v>1111</v>
      </c>
      <c r="G518" s="21">
        <v>1090</v>
      </c>
      <c r="H518" s="21">
        <v>38.01932</v>
      </c>
      <c r="I518" s="21">
        <v>-3.724704</v>
      </c>
      <c r="J518" s="21">
        <v>487.92450000000002</v>
      </c>
      <c r="O518" s="21" t="str">
        <f t="shared" si="11"/>
        <v/>
      </c>
      <c r="R518" s="26" t="s">
        <v>602</v>
      </c>
      <c r="S518" s="21">
        <v>721.77369999999996</v>
      </c>
    </row>
    <row r="519" spans="1:19" x14ac:dyDescent="0.25">
      <c r="A519" s="21">
        <v>518</v>
      </c>
      <c r="B519" s="26" t="s">
        <v>50</v>
      </c>
      <c r="C519" s="26" t="s">
        <v>125</v>
      </c>
      <c r="D519" s="26" t="s">
        <v>50</v>
      </c>
      <c r="E519" s="21">
        <v>115395</v>
      </c>
      <c r="F519" s="21">
        <v>55553</v>
      </c>
      <c r="G519" s="21">
        <v>59842</v>
      </c>
      <c r="H519" s="21">
        <v>37.765740000000001</v>
      </c>
      <c r="I519" s="21">
        <v>-3.7895180000000002</v>
      </c>
      <c r="J519" s="21">
        <v>576.39390000000003</v>
      </c>
      <c r="O519" s="21" t="str">
        <f t="shared" si="11"/>
        <v/>
      </c>
      <c r="R519" s="26" t="s">
        <v>270</v>
      </c>
      <c r="S519" s="21">
        <v>953.42529999999999</v>
      </c>
    </row>
    <row r="520" spans="1:19" x14ac:dyDescent="0.25">
      <c r="A520" s="21">
        <v>519</v>
      </c>
      <c r="B520" s="26" t="s">
        <v>50</v>
      </c>
      <c r="C520" s="26" t="s">
        <v>126</v>
      </c>
      <c r="D520" s="26" t="s">
        <v>776</v>
      </c>
      <c r="E520" s="21">
        <v>3404</v>
      </c>
      <c r="F520" s="21">
        <v>1727</v>
      </c>
      <c r="G520" s="21">
        <v>1677</v>
      </c>
      <c r="H520" s="21">
        <v>37.74709</v>
      </c>
      <c r="I520" s="21">
        <v>-3.912299</v>
      </c>
      <c r="J520" s="21">
        <v>754.02729999999997</v>
      </c>
      <c r="O520" s="21" t="str">
        <f t="shared" si="11"/>
        <v/>
      </c>
      <c r="R520" s="26" t="s">
        <v>899</v>
      </c>
      <c r="S520" s="21">
        <v>314.17430000000002</v>
      </c>
    </row>
    <row r="521" spans="1:19" x14ac:dyDescent="0.25">
      <c r="A521" s="21">
        <v>520</v>
      </c>
      <c r="B521" s="26" t="s">
        <v>50</v>
      </c>
      <c r="C521" s="26" t="s">
        <v>127</v>
      </c>
      <c r="D521" s="26" t="s">
        <v>777</v>
      </c>
      <c r="E521" s="21">
        <v>1344</v>
      </c>
      <c r="F521" s="21">
        <v>652</v>
      </c>
      <c r="G521" s="21">
        <v>692</v>
      </c>
      <c r="H521" s="21">
        <v>37.84158</v>
      </c>
      <c r="I521" s="21">
        <v>-3.4765290000000002</v>
      </c>
      <c r="J521" s="21">
        <v>610.7731</v>
      </c>
      <c r="O521" s="21" t="str">
        <f t="shared" si="11"/>
        <v/>
      </c>
      <c r="R521" s="26" t="s">
        <v>994</v>
      </c>
      <c r="S521" s="21">
        <v>173.88050000000001</v>
      </c>
    </row>
    <row r="522" spans="1:19" x14ac:dyDescent="0.25">
      <c r="A522" s="21">
        <v>521</v>
      </c>
      <c r="B522" s="26" t="s">
        <v>50</v>
      </c>
      <c r="C522" s="26" t="s">
        <v>128</v>
      </c>
      <c r="D522" s="26" t="s">
        <v>778</v>
      </c>
      <c r="E522" s="21">
        <v>12022</v>
      </c>
      <c r="F522" s="21">
        <v>5959</v>
      </c>
      <c r="G522" s="21">
        <v>6063</v>
      </c>
      <c r="H522" s="21">
        <v>37.843980000000002</v>
      </c>
      <c r="I522" s="21">
        <v>-3.3525450000000001</v>
      </c>
      <c r="J522" s="21">
        <v>650.83920000000001</v>
      </c>
      <c r="O522" s="21" t="str">
        <f t="shared" si="11"/>
        <v/>
      </c>
      <c r="R522" s="26" t="s">
        <v>271</v>
      </c>
      <c r="S522" s="21">
        <v>1054.8389999999999</v>
      </c>
    </row>
    <row r="523" spans="1:19" x14ac:dyDescent="0.25">
      <c r="A523" s="21">
        <v>522</v>
      </c>
      <c r="B523" s="26" t="s">
        <v>50</v>
      </c>
      <c r="C523" s="26" t="s">
        <v>115</v>
      </c>
      <c r="D523" s="26" t="s">
        <v>779</v>
      </c>
      <c r="E523" s="21">
        <v>1783</v>
      </c>
      <c r="F523" s="21">
        <v>877</v>
      </c>
      <c r="G523" s="21">
        <v>906</v>
      </c>
      <c r="H523" s="21">
        <v>37.970489999999998</v>
      </c>
      <c r="I523" s="21">
        <v>-3.9891640000000002</v>
      </c>
      <c r="J523" s="21">
        <v>372.6848</v>
      </c>
      <c r="O523" s="21" t="str">
        <f t="shared" si="11"/>
        <v/>
      </c>
      <c r="R523" s="26" t="s">
        <v>272</v>
      </c>
      <c r="S523" s="21">
        <v>486.59609999999998</v>
      </c>
    </row>
    <row r="524" spans="1:19" x14ac:dyDescent="0.25">
      <c r="A524" s="21">
        <v>523</v>
      </c>
      <c r="B524" s="26" t="s">
        <v>50</v>
      </c>
      <c r="C524" s="26" t="s">
        <v>129</v>
      </c>
      <c r="D524" s="26" t="s">
        <v>780</v>
      </c>
      <c r="E524" s="21">
        <v>487</v>
      </c>
      <c r="F524" s="21">
        <v>251</v>
      </c>
      <c r="G524" s="21">
        <v>236</v>
      </c>
      <c r="H524" s="21">
        <v>37.758920000000003</v>
      </c>
      <c r="I524" s="21">
        <v>-3.2001499999999998</v>
      </c>
      <c r="J524" s="21">
        <v>736.21190000000001</v>
      </c>
      <c r="O524" s="21" t="str">
        <f t="shared" si="11"/>
        <v/>
      </c>
      <c r="R524" s="26" t="s">
        <v>388</v>
      </c>
      <c r="S524" s="21">
        <v>606.72879999999998</v>
      </c>
    </row>
    <row r="525" spans="1:19" x14ac:dyDescent="0.25">
      <c r="A525" s="21">
        <v>524</v>
      </c>
      <c r="B525" s="26" t="s">
        <v>50</v>
      </c>
      <c r="C525" s="26" t="s">
        <v>130</v>
      </c>
      <c r="D525" s="26" t="s">
        <v>781</v>
      </c>
      <c r="E525" s="21">
        <v>59737</v>
      </c>
      <c r="F525" s="21">
        <v>29316</v>
      </c>
      <c r="G525" s="21">
        <v>30421</v>
      </c>
      <c r="H525" s="21">
        <v>38.093620000000001</v>
      </c>
      <c r="I525" s="21">
        <v>-3.6358440000000001</v>
      </c>
      <c r="J525" s="21">
        <v>410.82499999999999</v>
      </c>
      <c r="O525" s="21" t="str">
        <f t="shared" si="11"/>
        <v/>
      </c>
      <c r="R525" s="26" t="s">
        <v>603</v>
      </c>
      <c r="S525" s="21">
        <v>932.2527</v>
      </c>
    </row>
    <row r="526" spans="1:19" x14ac:dyDescent="0.25">
      <c r="A526" s="21">
        <v>525</v>
      </c>
      <c r="B526" s="26" t="s">
        <v>50</v>
      </c>
      <c r="C526" s="26" t="s">
        <v>131</v>
      </c>
      <c r="D526" s="26" t="s">
        <v>782</v>
      </c>
      <c r="E526" s="21">
        <v>3779</v>
      </c>
      <c r="F526" s="21">
        <v>1892</v>
      </c>
      <c r="G526" s="21">
        <v>1887</v>
      </c>
      <c r="H526" s="21">
        <v>37.943669999999997</v>
      </c>
      <c r="I526" s="21">
        <v>-4.2146939999999997</v>
      </c>
      <c r="J526" s="21">
        <v>272.2022</v>
      </c>
      <c r="O526" s="21" t="str">
        <f t="shared" si="11"/>
        <v/>
      </c>
      <c r="R526" s="26" t="s">
        <v>791</v>
      </c>
      <c r="S526" s="21">
        <v>758.68790000000001</v>
      </c>
    </row>
    <row r="527" spans="1:19" x14ac:dyDescent="0.25">
      <c r="A527" s="21">
        <v>526</v>
      </c>
      <c r="B527" s="26" t="s">
        <v>50</v>
      </c>
      <c r="C527" s="26" t="s">
        <v>132</v>
      </c>
      <c r="D527" s="26" t="s">
        <v>783</v>
      </c>
      <c r="E527" s="21">
        <v>910</v>
      </c>
      <c r="F527" s="21">
        <v>450</v>
      </c>
      <c r="G527" s="21">
        <v>460</v>
      </c>
      <c r="H527" s="21">
        <v>37.996560000000002</v>
      </c>
      <c r="I527" s="21">
        <v>-3.5469360000000001</v>
      </c>
      <c r="J527" s="21">
        <v>500.9033</v>
      </c>
      <c r="O527" s="21" t="str">
        <f t="shared" si="11"/>
        <v/>
      </c>
      <c r="R527" s="26" t="s">
        <v>604</v>
      </c>
      <c r="S527" s="21">
        <v>465.8732</v>
      </c>
    </row>
    <row r="528" spans="1:19" x14ac:dyDescent="0.25">
      <c r="A528" s="21">
        <v>527</v>
      </c>
      <c r="B528" s="26" t="s">
        <v>50</v>
      </c>
      <c r="C528" s="26" t="s">
        <v>133</v>
      </c>
      <c r="D528" s="26" t="s">
        <v>784</v>
      </c>
      <c r="E528" s="21">
        <v>11212</v>
      </c>
      <c r="F528" s="21">
        <v>5590</v>
      </c>
      <c r="G528" s="21">
        <v>5622</v>
      </c>
      <c r="H528" s="21">
        <v>37.786169999999998</v>
      </c>
      <c r="I528" s="21">
        <v>-3.612393</v>
      </c>
      <c r="J528" s="21">
        <v>759.8338</v>
      </c>
      <c r="O528" s="21" t="str">
        <f t="shared" si="11"/>
        <v/>
      </c>
      <c r="R528" s="26" t="s">
        <v>273</v>
      </c>
      <c r="S528" s="21">
        <v>1038.982</v>
      </c>
    </row>
    <row r="529" spans="1:19" x14ac:dyDescent="0.25">
      <c r="A529" s="21">
        <v>528</v>
      </c>
      <c r="B529" s="26" t="s">
        <v>50</v>
      </c>
      <c r="C529" s="26" t="s">
        <v>135</v>
      </c>
      <c r="D529" s="26" t="s">
        <v>785</v>
      </c>
      <c r="E529" s="21">
        <v>7089</v>
      </c>
      <c r="F529" s="21">
        <v>3534</v>
      </c>
      <c r="G529" s="21">
        <v>3555</v>
      </c>
      <c r="H529" s="21">
        <v>38.044330000000002</v>
      </c>
      <c r="I529" s="21">
        <v>-4.1706079999999996</v>
      </c>
      <c r="J529" s="21">
        <v>244.32589999999999</v>
      </c>
      <c r="O529" s="21" t="str">
        <f t="shared" si="11"/>
        <v/>
      </c>
      <c r="R529" s="26" t="s">
        <v>995</v>
      </c>
      <c r="S529" s="21">
        <v>291.49220000000003</v>
      </c>
    </row>
    <row r="530" spans="1:19" x14ac:dyDescent="0.25">
      <c r="A530" s="21">
        <v>529</v>
      </c>
      <c r="B530" s="26" t="s">
        <v>50</v>
      </c>
      <c r="C530" s="26" t="s">
        <v>134</v>
      </c>
      <c r="D530" s="26" t="s">
        <v>786</v>
      </c>
      <c r="E530" s="21">
        <v>24398</v>
      </c>
      <c r="F530" s="21">
        <v>12099</v>
      </c>
      <c r="G530" s="21">
        <v>12299</v>
      </c>
      <c r="H530" s="21">
        <v>37.72278</v>
      </c>
      <c r="I530" s="21">
        <v>-3.966259</v>
      </c>
      <c r="J530" s="21">
        <v>739.37220000000002</v>
      </c>
      <c r="O530" s="21" t="str">
        <f t="shared" si="11"/>
        <v/>
      </c>
      <c r="R530" s="26" t="s">
        <v>605</v>
      </c>
      <c r="S530" s="21">
        <v>266.52269999999999</v>
      </c>
    </row>
    <row r="531" spans="1:19" x14ac:dyDescent="0.25">
      <c r="A531" s="21">
        <v>530</v>
      </c>
      <c r="B531" s="26" t="s">
        <v>50</v>
      </c>
      <c r="C531" s="26" t="s">
        <v>136</v>
      </c>
      <c r="D531" s="26" t="s">
        <v>787</v>
      </c>
      <c r="E531" s="21">
        <v>9935</v>
      </c>
      <c r="F531" s="21">
        <v>4956</v>
      </c>
      <c r="G531" s="21">
        <v>4979</v>
      </c>
      <c r="H531" s="21">
        <v>37.968330000000002</v>
      </c>
      <c r="I531" s="21">
        <v>-3.8088060000000001</v>
      </c>
      <c r="J531" s="21">
        <v>322.39819999999997</v>
      </c>
      <c r="O531" s="21" t="str">
        <f t="shared" si="11"/>
        <v/>
      </c>
      <c r="R531" s="26" t="s">
        <v>606</v>
      </c>
      <c r="S531" s="21">
        <v>757.93039999999996</v>
      </c>
    </row>
    <row r="532" spans="1:19" x14ac:dyDescent="0.25">
      <c r="A532" s="21">
        <v>531</v>
      </c>
      <c r="B532" s="26" t="s">
        <v>50</v>
      </c>
      <c r="C532" s="26" t="s">
        <v>137</v>
      </c>
      <c r="D532" s="26" t="s">
        <v>788</v>
      </c>
      <c r="E532" s="21">
        <v>1815</v>
      </c>
      <c r="F532" s="21">
        <v>938</v>
      </c>
      <c r="G532" s="21">
        <v>877</v>
      </c>
      <c r="H532" s="21">
        <v>38.34243</v>
      </c>
      <c r="I532" s="21">
        <v>-3.1034039999999998</v>
      </c>
      <c r="J532" s="21">
        <v>644.21090000000004</v>
      </c>
      <c r="O532" s="21" t="str">
        <f t="shared" si="11"/>
        <v/>
      </c>
      <c r="R532" s="26" t="s">
        <v>274</v>
      </c>
      <c r="S532" s="21">
        <v>745.10289999999998</v>
      </c>
    </row>
    <row r="533" spans="1:19" x14ac:dyDescent="0.25">
      <c r="A533" s="21">
        <v>532</v>
      </c>
      <c r="B533" s="26" t="s">
        <v>50</v>
      </c>
      <c r="C533" s="26" t="s">
        <v>139</v>
      </c>
      <c r="D533" s="26" t="s">
        <v>789</v>
      </c>
      <c r="E533" s="21">
        <v>4712</v>
      </c>
      <c r="F533" s="21">
        <v>2359</v>
      </c>
      <c r="G533" s="21">
        <v>2353</v>
      </c>
      <c r="H533" s="21">
        <v>38.184640000000002</v>
      </c>
      <c r="I533" s="21">
        <v>-3.315369</v>
      </c>
      <c r="J533" s="21">
        <v>660.07870000000003</v>
      </c>
      <c r="O533" s="21" t="str">
        <f t="shared" si="11"/>
        <v/>
      </c>
      <c r="R533" s="26" t="s">
        <v>996</v>
      </c>
      <c r="S533" s="21">
        <v>8.8476879999999998</v>
      </c>
    </row>
    <row r="534" spans="1:19" x14ac:dyDescent="0.25">
      <c r="A534" s="21">
        <v>533</v>
      </c>
      <c r="B534" s="26" t="s">
        <v>50</v>
      </c>
      <c r="C534" s="26" t="s">
        <v>140</v>
      </c>
      <c r="D534" s="26" t="s">
        <v>790</v>
      </c>
      <c r="E534" s="21">
        <v>2000</v>
      </c>
      <c r="F534" s="21">
        <v>1008</v>
      </c>
      <c r="G534" s="21">
        <v>992</v>
      </c>
      <c r="H534" s="21">
        <v>37.529389999999999</v>
      </c>
      <c r="I534" s="21">
        <v>-3.6536749999999998</v>
      </c>
      <c r="J534" s="21">
        <v>1090.6769999999999</v>
      </c>
      <c r="O534" s="21" t="str">
        <f t="shared" si="11"/>
        <v/>
      </c>
      <c r="R534" s="26" t="s">
        <v>454</v>
      </c>
      <c r="S534" s="21">
        <v>396.52080000000001</v>
      </c>
    </row>
    <row r="535" spans="1:19" x14ac:dyDescent="0.25">
      <c r="A535" s="21">
        <v>534</v>
      </c>
      <c r="B535" s="26" t="s">
        <v>50</v>
      </c>
      <c r="C535" s="26" t="s">
        <v>141</v>
      </c>
      <c r="D535" s="26" t="s">
        <v>791</v>
      </c>
      <c r="E535" s="21">
        <v>1919</v>
      </c>
      <c r="F535" s="21">
        <v>967</v>
      </c>
      <c r="G535" s="21">
        <v>952</v>
      </c>
      <c r="H535" s="21">
        <v>38.31738</v>
      </c>
      <c r="I535" s="21">
        <v>-2.6649120000000002</v>
      </c>
      <c r="J535" s="21">
        <v>758.68790000000001</v>
      </c>
      <c r="O535" s="21" t="str">
        <f t="shared" si="11"/>
        <v/>
      </c>
      <c r="R535" s="26" t="s">
        <v>703</v>
      </c>
      <c r="S535" s="21">
        <v>96.010580000000004</v>
      </c>
    </row>
    <row r="536" spans="1:19" x14ac:dyDescent="0.25">
      <c r="A536" s="21">
        <v>535</v>
      </c>
      <c r="B536" s="26" t="s">
        <v>50</v>
      </c>
      <c r="C536" s="26" t="s">
        <v>142</v>
      </c>
      <c r="D536" s="26" t="s">
        <v>792</v>
      </c>
      <c r="E536" s="21">
        <v>5410</v>
      </c>
      <c r="F536" s="21">
        <v>2696</v>
      </c>
      <c r="G536" s="21">
        <v>2714</v>
      </c>
      <c r="H536" s="21">
        <v>37.913319999999999</v>
      </c>
      <c r="I536" s="21">
        <v>-3.1216550000000001</v>
      </c>
      <c r="J536" s="21">
        <v>548.81910000000005</v>
      </c>
      <c r="O536" s="21" t="str">
        <f t="shared" si="11"/>
        <v/>
      </c>
      <c r="R536" s="26" t="s">
        <v>455</v>
      </c>
      <c r="S536" s="21">
        <v>60.91507</v>
      </c>
    </row>
    <row r="537" spans="1:19" x14ac:dyDescent="0.25">
      <c r="A537" s="21">
        <v>536</v>
      </c>
      <c r="B537" s="26" t="s">
        <v>50</v>
      </c>
      <c r="C537" s="26" t="s">
        <v>143</v>
      </c>
      <c r="D537" s="26" t="s">
        <v>793</v>
      </c>
      <c r="E537" s="21">
        <v>3032</v>
      </c>
      <c r="F537" s="21">
        <v>1522</v>
      </c>
      <c r="G537" s="21">
        <v>1510</v>
      </c>
      <c r="H537" s="21">
        <v>37.737969999999997</v>
      </c>
      <c r="I537" s="21">
        <v>-3.6510980000000002</v>
      </c>
      <c r="J537" s="21">
        <v>795.40359999999998</v>
      </c>
      <c r="O537" s="21" t="str">
        <f t="shared" si="11"/>
        <v/>
      </c>
      <c r="R537" s="26" t="s">
        <v>997</v>
      </c>
      <c r="S537" s="21">
        <v>38.783850000000001</v>
      </c>
    </row>
    <row r="538" spans="1:19" x14ac:dyDescent="0.25">
      <c r="A538" s="21">
        <v>537</v>
      </c>
      <c r="B538" s="26" t="s">
        <v>50</v>
      </c>
      <c r="C538" s="26" t="s">
        <v>145</v>
      </c>
      <c r="D538" s="26" t="s">
        <v>794</v>
      </c>
      <c r="E538" s="21">
        <v>6567</v>
      </c>
      <c r="F538" s="21">
        <v>3311</v>
      </c>
      <c r="G538" s="21">
        <v>3256</v>
      </c>
      <c r="H538" s="21">
        <v>37.87086</v>
      </c>
      <c r="I538" s="21">
        <v>-4.1847209999999997</v>
      </c>
      <c r="J538" s="21">
        <v>468.45240000000001</v>
      </c>
      <c r="O538" s="21" t="str">
        <f t="shared" si="11"/>
        <v/>
      </c>
      <c r="R538" s="26" t="s">
        <v>704</v>
      </c>
      <c r="S538" s="21">
        <v>29.092289999999998</v>
      </c>
    </row>
    <row r="539" spans="1:19" x14ac:dyDescent="0.25">
      <c r="A539" s="21">
        <v>538</v>
      </c>
      <c r="B539" s="26" t="s">
        <v>50</v>
      </c>
      <c r="C539" s="26" t="s">
        <v>146</v>
      </c>
      <c r="D539" s="26" t="s">
        <v>795</v>
      </c>
      <c r="E539" s="21">
        <v>4892</v>
      </c>
      <c r="F539" s="21">
        <v>2492</v>
      </c>
      <c r="G539" s="21">
        <v>2400</v>
      </c>
      <c r="H539" s="21">
        <v>37.705120000000001</v>
      </c>
      <c r="I539" s="21">
        <v>-2.9343599999999999</v>
      </c>
      <c r="J539" s="21">
        <v>866.21720000000005</v>
      </c>
      <c r="O539" s="21" t="str">
        <f t="shared" si="11"/>
        <v/>
      </c>
      <c r="R539" s="26" t="s">
        <v>607</v>
      </c>
      <c r="S539" s="21">
        <v>1054.9110000000001</v>
      </c>
    </row>
    <row r="540" spans="1:19" x14ac:dyDescent="0.25">
      <c r="A540" s="21">
        <v>539</v>
      </c>
      <c r="B540" s="26" t="s">
        <v>50</v>
      </c>
      <c r="C540" s="26" t="s">
        <v>147</v>
      </c>
      <c r="D540" s="26" t="s">
        <v>796</v>
      </c>
      <c r="E540" s="21">
        <v>2221</v>
      </c>
      <c r="F540" s="21">
        <v>1123</v>
      </c>
      <c r="G540" s="21">
        <v>1098</v>
      </c>
      <c r="H540" s="21">
        <v>38.353230000000003</v>
      </c>
      <c r="I540" s="21">
        <v>-2.804408</v>
      </c>
      <c r="J540" s="21">
        <v>546.5222</v>
      </c>
      <c r="O540" s="21" t="str">
        <f t="shared" si="11"/>
        <v/>
      </c>
      <c r="R540" s="26" t="s">
        <v>998</v>
      </c>
      <c r="S540" s="21">
        <v>124.33410000000001</v>
      </c>
    </row>
    <row r="541" spans="1:19" x14ac:dyDescent="0.25">
      <c r="A541" s="21">
        <v>540</v>
      </c>
      <c r="B541" s="26" t="s">
        <v>50</v>
      </c>
      <c r="C541" s="26" t="s">
        <v>148</v>
      </c>
      <c r="D541" s="26" t="s">
        <v>797</v>
      </c>
      <c r="E541" s="21">
        <v>2503</v>
      </c>
      <c r="F541" s="21">
        <v>1250</v>
      </c>
      <c r="G541" s="21">
        <v>1253</v>
      </c>
      <c r="H541" s="21">
        <v>38.348610000000001</v>
      </c>
      <c r="I541" s="21">
        <v>-2.7371470000000002</v>
      </c>
      <c r="J541" s="21">
        <v>584.87699999999995</v>
      </c>
      <c r="O541" s="21" t="str">
        <f t="shared" si="11"/>
        <v/>
      </c>
      <c r="R541" s="26" t="s">
        <v>900</v>
      </c>
      <c r="S541" s="21">
        <v>819.96310000000005</v>
      </c>
    </row>
    <row r="542" spans="1:19" x14ac:dyDescent="0.25">
      <c r="A542" s="21">
        <v>541</v>
      </c>
      <c r="B542" s="26" t="s">
        <v>50</v>
      </c>
      <c r="C542" s="26" t="s">
        <v>149</v>
      </c>
      <c r="D542" s="26" t="s">
        <v>798</v>
      </c>
      <c r="E542" s="21">
        <v>5585</v>
      </c>
      <c r="F542" s="21">
        <v>2821</v>
      </c>
      <c r="G542" s="21">
        <v>2764</v>
      </c>
      <c r="H542" s="21">
        <v>37.845100000000002</v>
      </c>
      <c r="I542" s="21">
        <v>-3.0675910000000002</v>
      </c>
      <c r="J542" s="21">
        <v>679.35969999999998</v>
      </c>
      <c r="O542" s="21" t="str">
        <f t="shared" si="11"/>
        <v/>
      </c>
      <c r="R542" s="26" t="s">
        <v>275</v>
      </c>
      <c r="S542" s="21">
        <v>548.58500000000004</v>
      </c>
    </row>
    <row r="543" spans="1:19" x14ac:dyDescent="0.25">
      <c r="A543" s="21">
        <v>542</v>
      </c>
      <c r="B543" s="26" t="s">
        <v>50</v>
      </c>
      <c r="C543" s="26" t="s">
        <v>150</v>
      </c>
      <c r="D543" s="26" t="s">
        <v>799</v>
      </c>
      <c r="E543" s="21">
        <v>3728</v>
      </c>
      <c r="F543" s="21">
        <v>1904</v>
      </c>
      <c r="G543" s="21">
        <v>1824</v>
      </c>
      <c r="H543" s="21">
        <v>38.048070000000003</v>
      </c>
      <c r="I543" s="21">
        <v>-3.4620540000000002</v>
      </c>
      <c r="J543" s="21">
        <v>589.61850000000004</v>
      </c>
      <c r="O543" s="21" t="str">
        <f t="shared" si="11"/>
        <v/>
      </c>
      <c r="R543" s="26" t="s">
        <v>389</v>
      </c>
      <c r="S543" s="21">
        <v>125.9705</v>
      </c>
    </row>
    <row r="544" spans="1:19" x14ac:dyDescent="0.25">
      <c r="A544" s="21">
        <v>543</v>
      </c>
      <c r="B544" s="26" t="s">
        <v>50</v>
      </c>
      <c r="C544" s="26" t="s">
        <v>151</v>
      </c>
      <c r="D544" s="26" t="s">
        <v>800</v>
      </c>
      <c r="E544" s="21">
        <v>4073</v>
      </c>
      <c r="F544" s="21">
        <v>2026</v>
      </c>
      <c r="G544" s="21">
        <v>2047</v>
      </c>
      <c r="H544" s="21">
        <v>38.06915</v>
      </c>
      <c r="I544" s="21">
        <v>-3.3065950000000002</v>
      </c>
      <c r="J544" s="21">
        <v>829.24800000000005</v>
      </c>
      <c r="O544" s="21" t="str">
        <f t="shared" si="11"/>
        <v/>
      </c>
      <c r="R544" s="26" t="s">
        <v>705</v>
      </c>
      <c r="S544" s="21">
        <v>184.3562</v>
      </c>
    </row>
    <row r="545" spans="1:19" x14ac:dyDescent="0.25">
      <c r="A545" s="21">
        <v>544</v>
      </c>
      <c r="B545" s="26" t="s">
        <v>50</v>
      </c>
      <c r="C545" s="26" t="s">
        <v>152</v>
      </c>
      <c r="D545" s="26" t="s">
        <v>801</v>
      </c>
      <c r="E545" s="21">
        <v>986</v>
      </c>
      <c r="F545" s="21">
        <v>526</v>
      </c>
      <c r="G545" s="21">
        <v>460</v>
      </c>
      <c r="H545" s="21">
        <v>38.339109999999998</v>
      </c>
      <c r="I545" s="21">
        <v>-3.5392359999999998</v>
      </c>
      <c r="J545" s="21">
        <v>744.13490000000002</v>
      </c>
      <c r="O545" s="21" t="str">
        <f t="shared" si="11"/>
        <v/>
      </c>
      <c r="R545" s="26" t="s">
        <v>276</v>
      </c>
      <c r="S545" s="21">
        <v>1201.81</v>
      </c>
    </row>
    <row r="546" spans="1:19" x14ac:dyDescent="0.25">
      <c r="A546" s="21">
        <v>545</v>
      </c>
      <c r="B546" s="26" t="s">
        <v>50</v>
      </c>
      <c r="C546" s="26" t="s">
        <v>153</v>
      </c>
      <c r="D546" s="26" t="s">
        <v>802</v>
      </c>
      <c r="E546" s="21">
        <v>797</v>
      </c>
      <c r="F546" s="21">
        <v>410</v>
      </c>
      <c r="G546" s="21">
        <v>387</v>
      </c>
      <c r="H546" s="21">
        <v>37.752989999999997</v>
      </c>
      <c r="I546" s="21">
        <v>-4.1691070000000003</v>
      </c>
      <c r="J546" s="21">
        <v>391.07639999999998</v>
      </c>
      <c r="O546" s="21" t="str">
        <f t="shared" si="11"/>
        <v/>
      </c>
      <c r="R546" s="26" t="s">
        <v>706</v>
      </c>
      <c r="S546" s="21">
        <v>180.5523</v>
      </c>
    </row>
    <row r="547" spans="1:19" x14ac:dyDescent="0.25">
      <c r="A547" s="21">
        <v>546</v>
      </c>
      <c r="B547" s="26" t="s">
        <v>50</v>
      </c>
      <c r="C547" s="26" t="s">
        <v>189</v>
      </c>
      <c r="D547" s="26" t="s">
        <v>803</v>
      </c>
      <c r="E547" s="21">
        <v>3338</v>
      </c>
      <c r="F547" s="21">
        <v>1717</v>
      </c>
      <c r="G547" s="21">
        <v>1621</v>
      </c>
      <c r="H547" s="21">
        <v>38.1</v>
      </c>
      <c r="I547" s="21">
        <v>-2.5499999999999998</v>
      </c>
      <c r="J547" s="21">
        <v>1229.5719999999999</v>
      </c>
      <c r="O547" s="21" t="str">
        <f t="shared" si="11"/>
        <v/>
      </c>
      <c r="R547" s="26" t="s">
        <v>792</v>
      </c>
      <c r="S547" s="21">
        <v>548.81910000000005</v>
      </c>
    </row>
    <row r="548" spans="1:19" x14ac:dyDescent="0.25">
      <c r="A548" s="21">
        <v>547</v>
      </c>
      <c r="B548" s="26" t="s">
        <v>50</v>
      </c>
      <c r="C548" s="26" t="s">
        <v>155</v>
      </c>
      <c r="D548" s="26" t="s">
        <v>804</v>
      </c>
      <c r="E548" s="21">
        <v>4666</v>
      </c>
      <c r="F548" s="21">
        <v>2401</v>
      </c>
      <c r="G548" s="21">
        <v>2265</v>
      </c>
      <c r="H548" s="21">
        <v>38.247459999999997</v>
      </c>
      <c r="I548" s="21">
        <v>-3.2064279999999998</v>
      </c>
      <c r="J548" s="21">
        <v>706.26570000000004</v>
      </c>
      <c r="O548" s="21" t="str">
        <f t="shared" si="11"/>
        <v/>
      </c>
      <c r="R548" s="26" t="s">
        <v>277</v>
      </c>
      <c r="S548" s="21">
        <v>107.5108</v>
      </c>
    </row>
    <row r="549" spans="1:19" x14ac:dyDescent="0.25">
      <c r="A549" s="21">
        <v>548</v>
      </c>
      <c r="B549" s="26" t="s">
        <v>50</v>
      </c>
      <c r="C549" s="26" t="s">
        <v>156</v>
      </c>
      <c r="D549" s="26" t="s">
        <v>805</v>
      </c>
      <c r="E549" s="21">
        <v>2303</v>
      </c>
      <c r="F549" s="21">
        <v>1167</v>
      </c>
      <c r="G549" s="21">
        <v>1136</v>
      </c>
      <c r="H549" s="21">
        <v>38.028179999999999</v>
      </c>
      <c r="I549" s="21">
        <v>-3.1018439999999998</v>
      </c>
      <c r="J549" s="21">
        <v>450.98059999999998</v>
      </c>
      <c r="O549" s="21" t="str">
        <f t="shared" si="11"/>
        <v/>
      </c>
      <c r="R549" s="26" t="s">
        <v>999</v>
      </c>
      <c r="S549" s="21">
        <v>456.64769999999999</v>
      </c>
    </row>
    <row r="550" spans="1:19" x14ac:dyDescent="0.25">
      <c r="A550" s="21">
        <v>549</v>
      </c>
      <c r="B550" s="26" t="s">
        <v>50</v>
      </c>
      <c r="C550" s="26" t="s">
        <v>157</v>
      </c>
      <c r="D550" s="26" t="s">
        <v>806</v>
      </c>
      <c r="E550" s="21">
        <v>1916</v>
      </c>
      <c r="F550" s="21">
        <v>939</v>
      </c>
      <c r="G550" s="21">
        <v>977</v>
      </c>
      <c r="H550" s="21">
        <v>38.297759999999997</v>
      </c>
      <c r="I550" s="21">
        <v>-2.651513</v>
      </c>
      <c r="J550" s="21">
        <v>1110.403</v>
      </c>
      <c r="O550" s="21" t="str">
        <f t="shared" si="11"/>
        <v/>
      </c>
      <c r="R550" s="26" t="s">
        <v>456</v>
      </c>
      <c r="S550" s="21">
        <v>163.2774</v>
      </c>
    </row>
    <row r="551" spans="1:19" x14ac:dyDescent="0.25">
      <c r="A551" s="21">
        <v>550</v>
      </c>
      <c r="B551" s="26" t="s">
        <v>50</v>
      </c>
      <c r="C551" s="26" t="s">
        <v>158</v>
      </c>
      <c r="D551" s="26" t="s">
        <v>807</v>
      </c>
      <c r="E551" s="21">
        <v>2345</v>
      </c>
      <c r="F551" s="21">
        <v>1199</v>
      </c>
      <c r="G551" s="21">
        <v>1146</v>
      </c>
      <c r="H551" s="21">
        <v>38.387340000000002</v>
      </c>
      <c r="I551" s="21">
        <v>-2.5813100000000002</v>
      </c>
      <c r="J551" s="21">
        <v>831.98419999999999</v>
      </c>
      <c r="O551" s="21" t="str">
        <f t="shared" si="11"/>
        <v/>
      </c>
      <c r="R551" s="26" t="s">
        <v>608</v>
      </c>
      <c r="S551" s="21">
        <v>1036.3399999999999</v>
      </c>
    </row>
    <row r="552" spans="1:19" x14ac:dyDescent="0.25">
      <c r="A552" s="21">
        <v>551</v>
      </c>
      <c r="B552" s="26" t="s">
        <v>50</v>
      </c>
      <c r="C552" s="26" t="s">
        <v>160</v>
      </c>
      <c r="D552" s="26" t="s">
        <v>808</v>
      </c>
      <c r="E552" s="21">
        <v>1248</v>
      </c>
      <c r="F552" s="21">
        <v>661</v>
      </c>
      <c r="G552" s="21">
        <v>587</v>
      </c>
      <c r="H552" s="21">
        <v>38.239539999999998</v>
      </c>
      <c r="I552" s="21">
        <v>-3.0541520000000002</v>
      </c>
      <c r="J552" s="21">
        <v>630.34780000000001</v>
      </c>
      <c r="O552" s="21" t="str">
        <f t="shared" si="11"/>
        <v/>
      </c>
      <c r="R552" s="26" t="s">
        <v>457</v>
      </c>
      <c r="S552" s="21">
        <v>623.12530000000004</v>
      </c>
    </row>
    <row r="553" spans="1:19" x14ac:dyDescent="0.25">
      <c r="A553" s="21">
        <v>552</v>
      </c>
      <c r="B553" s="26" t="s">
        <v>50</v>
      </c>
      <c r="C553" s="26" t="s">
        <v>161</v>
      </c>
      <c r="D553" s="26" t="s">
        <v>809</v>
      </c>
      <c r="E553" s="21">
        <v>2742</v>
      </c>
      <c r="F553" s="21">
        <v>1374</v>
      </c>
      <c r="G553" s="21">
        <v>1368</v>
      </c>
      <c r="H553" s="21">
        <v>37.996180000000003</v>
      </c>
      <c r="I553" s="21">
        <v>-3.638916</v>
      </c>
      <c r="J553" s="21">
        <v>329.47340000000003</v>
      </c>
      <c r="O553" s="21" t="str">
        <f t="shared" si="11"/>
        <v/>
      </c>
      <c r="R553" s="26" t="s">
        <v>1000</v>
      </c>
      <c r="S553" s="21">
        <v>413.61989999999997</v>
      </c>
    </row>
    <row r="554" spans="1:19" x14ac:dyDescent="0.25">
      <c r="A554" s="21">
        <v>553</v>
      </c>
      <c r="B554" s="26" t="s">
        <v>50</v>
      </c>
      <c r="C554" s="26" t="s">
        <v>162</v>
      </c>
      <c r="D554" s="26" t="s">
        <v>810</v>
      </c>
      <c r="E554" s="21">
        <v>14605</v>
      </c>
      <c r="F554" s="21">
        <v>7347</v>
      </c>
      <c r="G554" s="21">
        <v>7258</v>
      </c>
      <c r="H554" s="21">
        <v>37.77657</v>
      </c>
      <c r="I554" s="21">
        <v>-3.895521</v>
      </c>
      <c r="J554" s="21">
        <v>627.65210000000002</v>
      </c>
      <c r="O554" s="21" t="str">
        <f t="shared" si="11"/>
        <v/>
      </c>
      <c r="R554" s="26" t="s">
        <v>793</v>
      </c>
      <c r="S554" s="21">
        <v>795.40359999999998</v>
      </c>
    </row>
    <row r="555" spans="1:19" x14ac:dyDescent="0.25">
      <c r="A555" s="21">
        <v>554</v>
      </c>
      <c r="B555" s="26" t="s">
        <v>50</v>
      </c>
      <c r="C555" s="26" t="s">
        <v>290</v>
      </c>
      <c r="D555" s="26" t="s">
        <v>811</v>
      </c>
      <c r="E555" s="21">
        <v>14011</v>
      </c>
      <c r="F555" s="21">
        <v>6873</v>
      </c>
      <c r="G555" s="21">
        <v>7138</v>
      </c>
      <c r="H555" s="21">
        <v>37.765430000000002</v>
      </c>
      <c r="I555" s="21">
        <v>-3.959263</v>
      </c>
      <c r="J555" s="21">
        <v>585.90949999999998</v>
      </c>
      <c r="O555" s="21" t="str">
        <f t="shared" si="11"/>
        <v/>
      </c>
      <c r="R555" s="26" t="s">
        <v>609</v>
      </c>
      <c r="S555" s="21">
        <v>687.53279999999995</v>
      </c>
    </row>
    <row r="556" spans="1:19" x14ac:dyDescent="0.25">
      <c r="A556" s="21">
        <v>555</v>
      </c>
      <c r="B556" s="26" t="s">
        <v>50</v>
      </c>
      <c r="C556" s="26" t="s">
        <v>163</v>
      </c>
      <c r="D556" s="26" t="s">
        <v>812</v>
      </c>
      <c r="E556" s="21">
        <v>7548</v>
      </c>
      <c r="F556" s="21">
        <v>3676</v>
      </c>
      <c r="G556" s="21">
        <v>3872</v>
      </c>
      <c r="H556" s="21">
        <v>38.034500000000001</v>
      </c>
      <c r="I556" s="21">
        <v>-3.2875969999999999</v>
      </c>
      <c r="J556" s="21">
        <v>757.69039999999995</v>
      </c>
      <c r="O556" s="21" t="str">
        <f t="shared" si="11"/>
        <v/>
      </c>
      <c r="R556" s="26" t="s">
        <v>1001</v>
      </c>
      <c r="S556" s="21">
        <v>56.938000000000002</v>
      </c>
    </row>
    <row r="557" spans="1:19" x14ac:dyDescent="0.25">
      <c r="A557" s="21">
        <v>556</v>
      </c>
      <c r="B557" s="26" t="s">
        <v>50</v>
      </c>
      <c r="C557" s="26" t="s">
        <v>168</v>
      </c>
      <c r="D557" s="26" t="s">
        <v>813</v>
      </c>
      <c r="E557" s="21">
        <v>1516</v>
      </c>
      <c r="F557" s="21">
        <v>766</v>
      </c>
      <c r="G557" s="21">
        <v>750</v>
      </c>
      <c r="H557" s="21">
        <v>37.786079999999998</v>
      </c>
      <c r="I557" s="21">
        <v>-3.5100310000000001</v>
      </c>
      <c r="J557" s="21">
        <v>885.69280000000003</v>
      </c>
      <c r="O557" s="21" t="str">
        <f t="shared" ref="O557:O620" si="12">IFERROR(VLOOKUP($O$1,B557:D1329,3,FALSE),"")</f>
        <v/>
      </c>
      <c r="R557" s="26" t="s">
        <v>458</v>
      </c>
      <c r="S557" s="21">
        <v>541.6902</v>
      </c>
    </row>
    <row r="558" spans="1:19" x14ac:dyDescent="0.25">
      <c r="A558" s="21">
        <v>557</v>
      </c>
      <c r="B558" s="26" t="s">
        <v>50</v>
      </c>
      <c r="C558" s="26" t="s">
        <v>166</v>
      </c>
      <c r="D558" s="26" t="s">
        <v>814</v>
      </c>
      <c r="E558" s="21">
        <v>877</v>
      </c>
      <c r="F558" s="21">
        <v>455</v>
      </c>
      <c r="G558" s="21">
        <v>422</v>
      </c>
      <c r="H558" s="21">
        <v>38.41451</v>
      </c>
      <c r="I558" s="21">
        <v>-2.6770510000000001</v>
      </c>
      <c r="J558" s="21">
        <v>830.66849999999999</v>
      </c>
      <c r="O558" s="21" t="str">
        <f t="shared" si="12"/>
        <v/>
      </c>
      <c r="R558" s="26" t="s">
        <v>901</v>
      </c>
      <c r="S558" s="21">
        <v>570.68610000000001</v>
      </c>
    </row>
    <row r="559" spans="1:19" x14ac:dyDescent="0.25">
      <c r="A559" s="21">
        <v>558</v>
      </c>
      <c r="B559" s="26" t="s">
        <v>50</v>
      </c>
      <c r="C559" s="26" t="s">
        <v>167</v>
      </c>
      <c r="D559" s="26" t="s">
        <v>815</v>
      </c>
      <c r="E559" s="21">
        <v>34930</v>
      </c>
      <c r="F559" s="21">
        <v>17124</v>
      </c>
      <c r="G559" s="21">
        <v>17806</v>
      </c>
      <c r="H559" s="21">
        <v>38.008090000000003</v>
      </c>
      <c r="I559" s="21">
        <v>-3.368519</v>
      </c>
      <c r="J559" s="21">
        <v>737.46169999999995</v>
      </c>
      <c r="O559" s="21" t="str">
        <f t="shared" si="12"/>
        <v/>
      </c>
      <c r="R559" s="26" t="s">
        <v>610</v>
      </c>
      <c r="S559" s="21">
        <v>996.58889999999997</v>
      </c>
    </row>
    <row r="560" spans="1:19" x14ac:dyDescent="0.25">
      <c r="A560" s="21">
        <v>559</v>
      </c>
      <c r="B560" s="26" t="s">
        <v>50</v>
      </c>
      <c r="C560" s="26" t="s">
        <v>169</v>
      </c>
      <c r="D560" s="26" t="s">
        <v>816</v>
      </c>
      <c r="E560" s="21">
        <v>3926</v>
      </c>
      <c r="F560" s="21">
        <v>1943</v>
      </c>
      <c r="G560" s="21">
        <v>1983</v>
      </c>
      <c r="H560" s="21">
        <v>37.590339999999998</v>
      </c>
      <c r="I560" s="21">
        <v>-3.819645</v>
      </c>
      <c r="J560" s="21">
        <v>921.3818</v>
      </c>
      <c r="O560" s="21" t="str">
        <f t="shared" si="12"/>
        <v/>
      </c>
      <c r="R560" s="26" t="s">
        <v>1002</v>
      </c>
      <c r="S560" s="21">
        <v>69.789749999999998</v>
      </c>
    </row>
    <row r="561" spans="1:19" x14ac:dyDescent="0.25">
      <c r="A561" s="21">
        <v>560</v>
      </c>
      <c r="B561" s="26" t="s">
        <v>50</v>
      </c>
      <c r="C561" s="26" t="s">
        <v>170</v>
      </c>
      <c r="D561" s="26" t="s">
        <v>817</v>
      </c>
      <c r="E561" s="21">
        <v>4689</v>
      </c>
      <c r="F561" s="21">
        <v>2357</v>
      </c>
      <c r="G561" s="21">
        <v>2332</v>
      </c>
      <c r="H561" s="21">
        <v>38.20467</v>
      </c>
      <c r="I561" s="21">
        <v>-3.5076619999999998</v>
      </c>
      <c r="J561" s="21">
        <v>546.20389999999998</v>
      </c>
      <c r="O561" s="21" t="str">
        <f t="shared" si="12"/>
        <v/>
      </c>
      <c r="R561" s="26" t="s">
        <v>611</v>
      </c>
      <c r="S561" s="21">
        <v>912.61900000000003</v>
      </c>
    </row>
    <row r="562" spans="1:19" x14ac:dyDescent="0.25">
      <c r="A562" s="21">
        <v>561</v>
      </c>
      <c r="B562" s="26" t="s">
        <v>50</v>
      </c>
      <c r="C562" s="26" t="s">
        <v>171</v>
      </c>
      <c r="D562" s="26" t="s">
        <v>818</v>
      </c>
      <c r="E562" s="21">
        <v>11040</v>
      </c>
      <c r="F562" s="21">
        <v>5578</v>
      </c>
      <c r="G562" s="21">
        <v>5462</v>
      </c>
      <c r="H562" s="21">
        <v>38.115409999999997</v>
      </c>
      <c r="I562" s="21">
        <v>-3.0871940000000002</v>
      </c>
      <c r="J562" s="21">
        <v>793.01480000000004</v>
      </c>
      <c r="O562" s="21" t="str">
        <f t="shared" si="12"/>
        <v/>
      </c>
      <c r="R562" s="26" t="s">
        <v>612</v>
      </c>
      <c r="S562" s="21">
        <v>777.88430000000005</v>
      </c>
    </row>
    <row r="563" spans="1:19" x14ac:dyDescent="0.25">
      <c r="A563" s="21">
        <v>562</v>
      </c>
      <c r="B563" s="26" t="s">
        <v>50</v>
      </c>
      <c r="C563" s="26" t="s">
        <v>172</v>
      </c>
      <c r="D563" s="26" t="s">
        <v>819</v>
      </c>
      <c r="E563" s="21">
        <v>3245</v>
      </c>
      <c r="F563" s="21">
        <v>1642</v>
      </c>
      <c r="G563" s="21">
        <v>1603</v>
      </c>
      <c r="H563" s="21">
        <v>38.004989999999999</v>
      </c>
      <c r="I563" s="21">
        <v>-3.9195120000000001</v>
      </c>
      <c r="J563" s="21">
        <v>220.48840000000001</v>
      </c>
      <c r="O563" s="21" t="str">
        <f t="shared" si="12"/>
        <v/>
      </c>
      <c r="R563" s="26" t="s">
        <v>613</v>
      </c>
      <c r="S563" s="21">
        <v>575.28880000000004</v>
      </c>
    </row>
    <row r="564" spans="1:19" x14ac:dyDescent="0.25">
      <c r="A564" s="21">
        <v>563</v>
      </c>
      <c r="B564" s="26" t="s">
        <v>50</v>
      </c>
      <c r="C564" s="26" t="s">
        <v>173</v>
      </c>
      <c r="D564" s="26" t="s">
        <v>820</v>
      </c>
      <c r="E564" s="21">
        <v>8484</v>
      </c>
      <c r="F564" s="21">
        <v>4378</v>
      </c>
      <c r="G564" s="21">
        <v>4106</v>
      </c>
      <c r="H564" s="21">
        <v>38.169339999999998</v>
      </c>
      <c r="I564" s="21">
        <v>-3.0100989999999999</v>
      </c>
      <c r="J564" s="21">
        <v>673.12829999999997</v>
      </c>
      <c r="O564" s="21" t="str">
        <f t="shared" si="12"/>
        <v/>
      </c>
      <c r="R564" s="26" t="s">
        <v>614</v>
      </c>
      <c r="S564" s="21">
        <v>912.61900000000003</v>
      </c>
    </row>
    <row r="565" spans="1:19" x14ac:dyDescent="0.25">
      <c r="A565" s="21">
        <v>564</v>
      </c>
      <c r="B565" s="26" t="s">
        <v>50</v>
      </c>
      <c r="C565" s="26" t="s">
        <v>175</v>
      </c>
      <c r="D565" s="26" t="s">
        <v>821</v>
      </c>
      <c r="E565" s="21">
        <v>1029</v>
      </c>
      <c r="F565" s="21">
        <v>514</v>
      </c>
      <c r="G565" s="21">
        <v>515</v>
      </c>
      <c r="H565" s="21">
        <v>37.839689999999997</v>
      </c>
      <c r="I565" s="21">
        <v>-4.0012860000000003</v>
      </c>
      <c r="J565" s="21">
        <v>443.14929999999998</v>
      </c>
      <c r="O565" s="21" t="str">
        <f t="shared" si="12"/>
        <v/>
      </c>
      <c r="R565" s="26" t="s">
        <v>902</v>
      </c>
      <c r="S565" s="21">
        <v>88.955489999999998</v>
      </c>
    </row>
    <row r="566" spans="1:19" x14ac:dyDescent="0.25">
      <c r="A566" s="21">
        <v>565</v>
      </c>
      <c r="B566" s="26" t="s">
        <v>50</v>
      </c>
      <c r="C566" s="26" t="s">
        <v>174</v>
      </c>
      <c r="D566" s="26" t="s">
        <v>822</v>
      </c>
      <c r="E566" s="21">
        <v>5999</v>
      </c>
      <c r="F566" s="21">
        <v>3000</v>
      </c>
      <c r="G566" s="21">
        <v>2999</v>
      </c>
      <c r="H566" s="21">
        <v>37.689320000000002</v>
      </c>
      <c r="I566" s="21">
        <v>-3.8185699999999998</v>
      </c>
      <c r="J566" s="21">
        <v>636.12950000000001</v>
      </c>
      <c r="O566" s="21" t="str">
        <f t="shared" si="12"/>
        <v/>
      </c>
      <c r="R566" s="26" t="s">
        <v>615</v>
      </c>
      <c r="S566" s="21">
        <v>1146.402</v>
      </c>
    </row>
    <row r="567" spans="1:19" x14ac:dyDescent="0.25">
      <c r="A567" s="21">
        <v>566</v>
      </c>
      <c r="B567" s="26" t="s">
        <v>50</v>
      </c>
      <c r="C567" s="26" t="s">
        <v>177</v>
      </c>
      <c r="D567" s="26" t="s">
        <v>823</v>
      </c>
      <c r="E567" s="21">
        <v>438</v>
      </c>
      <c r="F567" s="21">
        <v>225</v>
      </c>
      <c r="G567" s="21">
        <v>213</v>
      </c>
      <c r="H567" s="21">
        <v>38.487929999999999</v>
      </c>
      <c r="I567" s="21">
        <v>-2.6362719999999999</v>
      </c>
      <c r="J567" s="21">
        <v>870.65200000000004</v>
      </c>
      <c r="O567" s="21" t="str">
        <f t="shared" si="12"/>
        <v/>
      </c>
      <c r="R567" s="26" t="s">
        <v>616</v>
      </c>
      <c r="S567" s="21">
        <v>783.92650000000003</v>
      </c>
    </row>
    <row r="568" spans="1:19" x14ac:dyDescent="0.25">
      <c r="A568" s="21">
        <v>567</v>
      </c>
      <c r="B568" s="26" t="s">
        <v>50</v>
      </c>
      <c r="C568" s="26" t="s">
        <v>165</v>
      </c>
      <c r="D568" s="26" t="s">
        <v>824</v>
      </c>
      <c r="E568" s="21">
        <v>4412</v>
      </c>
      <c r="F568" s="21">
        <v>2240</v>
      </c>
      <c r="G568" s="21">
        <v>2172</v>
      </c>
      <c r="H568" s="21">
        <v>37.9313</v>
      </c>
      <c r="I568" s="21">
        <v>-3.6927530000000002</v>
      </c>
      <c r="J568" s="21">
        <v>302.40429999999998</v>
      </c>
      <c r="O568" s="21" t="str">
        <f t="shared" si="12"/>
        <v/>
      </c>
      <c r="R568" s="26" t="s">
        <v>794</v>
      </c>
      <c r="S568" s="21">
        <v>468.45240000000001</v>
      </c>
    </row>
    <row r="569" spans="1:19" x14ac:dyDescent="0.25">
      <c r="A569" s="21">
        <v>568</v>
      </c>
      <c r="B569" s="26" t="s">
        <v>53</v>
      </c>
      <c r="C569" s="26" t="s">
        <v>76</v>
      </c>
      <c r="D569" s="26" t="s">
        <v>825</v>
      </c>
      <c r="E569" s="21">
        <v>5403</v>
      </c>
      <c r="F569" s="21">
        <v>2731</v>
      </c>
      <c r="G569" s="21">
        <v>2672</v>
      </c>
      <c r="H569" s="21">
        <v>37.207830000000001</v>
      </c>
      <c r="I569" s="21">
        <v>-4.6580729999999999</v>
      </c>
      <c r="J569" s="21">
        <v>431.06009999999998</v>
      </c>
      <c r="O569" s="21" t="str">
        <f t="shared" si="12"/>
        <v/>
      </c>
      <c r="R569" s="26" t="s">
        <v>617</v>
      </c>
      <c r="S569" s="21">
        <v>1312.607</v>
      </c>
    </row>
    <row r="570" spans="1:19" x14ac:dyDescent="0.25">
      <c r="A570" s="21">
        <v>569</v>
      </c>
      <c r="B570" s="26" t="s">
        <v>53</v>
      </c>
      <c r="C570" s="26" t="s">
        <v>77</v>
      </c>
      <c r="D570" s="26" t="s">
        <v>826</v>
      </c>
      <c r="E570" s="21">
        <v>2375</v>
      </c>
      <c r="F570" s="21">
        <v>1193</v>
      </c>
      <c r="G570" s="21">
        <v>1182</v>
      </c>
      <c r="H570" s="21">
        <v>36.902630000000002</v>
      </c>
      <c r="I570" s="21">
        <v>-4.114147</v>
      </c>
      <c r="J570" s="21">
        <v>506.84309999999999</v>
      </c>
      <c r="O570" s="21" t="str">
        <f t="shared" si="12"/>
        <v/>
      </c>
      <c r="R570" s="26" t="s">
        <v>459</v>
      </c>
      <c r="S570" s="21">
        <v>88.414339999999996</v>
      </c>
    </row>
    <row r="571" spans="1:19" x14ac:dyDescent="0.25">
      <c r="A571" s="21">
        <v>570</v>
      </c>
      <c r="B571" s="26" t="s">
        <v>53</v>
      </c>
      <c r="C571" s="26" t="s">
        <v>78</v>
      </c>
      <c r="D571" s="26" t="s">
        <v>827</v>
      </c>
      <c r="E571" s="21">
        <v>1159</v>
      </c>
      <c r="F571" s="21">
        <v>590</v>
      </c>
      <c r="G571" s="21">
        <v>569</v>
      </c>
      <c r="H571" s="21">
        <v>36.995109999999997</v>
      </c>
      <c r="I571" s="21">
        <v>-4.260656</v>
      </c>
      <c r="J571" s="21">
        <v>890.33389999999997</v>
      </c>
      <c r="O571" s="21" t="str">
        <f t="shared" si="12"/>
        <v/>
      </c>
      <c r="R571" s="26" t="s">
        <v>795</v>
      </c>
      <c r="S571" s="21">
        <v>866.21720000000005</v>
      </c>
    </row>
    <row r="572" spans="1:19" x14ac:dyDescent="0.25">
      <c r="A572" s="21">
        <v>571</v>
      </c>
      <c r="B572" s="26" t="s">
        <v>53</v>
      </c>
      <c r="C572" s="26" t="s">
        <v>79</v>
      </c>
      <c r="D572" s="26" t="s">
        <v>828</v>
      </c>
      <c r="E572" s="21">
        <v>463</v>
      </c>
      <c r="F572" s="21">
        <v>237</v>
      </c>
      <c r="G572" s="21">
        <v>226</v>
      </c>
      <c r="H572" s="21">
        <v>36.979349999999997</v>
      </c>
      <c r="I572" s="21">
        <v>-4.2725280000000003</v>
      </c>
      <c r="J572" s="21">
        <v>853.52599999999995</v>
      </c>
      <c r="O572" s="21" t="str">
        <f t="shared" si="12"/>
        <v/>
      </c>
      <c r="R572" s="26" t="s">
        <v>460</v>
      </c>
      <c r="S572" s="21">
        <v>652.37840000000006</v>
      </c>
    </row>
    <row r="573" spans="1:19" x14ac:dyDescent="0.25">
      <c r="A573" s="21">
        <v>572</v>
      </c>
      <c r="B573" s="26" t="s">
        <v>53</v>
      </c>
      <c r="C573" s="26" t="s">
        <v>80</v>
      </c>
      <c r="D573" s="26" t="s">
        <v>829</v>
      </c>
      <c r="E573" s="21">
        <v>6013</v>
      </c>
      <c r="F573" s="21">
        <v>3035</v>
      </c>
      <c r="G573" s="21">
        <v>2978</v>
      </c>
      <c r="H573" s="21">
        <v>36.77216</v>
      </c>
      <c r="I573" s="21">
        <v>-4.0393140000000001</v>
      </c>
      <c r="J573" s="21">
        <v>76.225040000000007</v>
      </c>
      <c r="O573" s="21" t="str">
        <f t="shared" si="12"/>
        <v/>
      </c>
      <c r="R573" s="26" t="s">
        <v>390</v>
      </c>
      <c r="S573" s="21">
        <v>423.15289999999999</v>
      </c>
    </row>
    <row r="574" spans="1:19" x14ac:dyDescent="0.25">
      <c r="A574" s="21">
        <v>573</v>
      </c>
      <c r="B574" s="26" t="s">
        <v>53</v>
      </c>
      <c r="C574" s="26" t="s">
        <v>81</v>
      </c>
      <c r="D574" s="26" t="s">
        <v>830</v>
      </c>
      <c r="E574" s="21">
        <v>834</v>
      </c>
      <c r="F574" s="21">
        <v>432</v>
      </c>
      <c r="G574" s="21">
        <v>402</v>
      </c>
      <c r="H574" s="21">
        <v>36.572890000000001</v>
      </c>
      <c r="I574" s="21">
        <v>-5.2765589999999998</v>
      </c>
      <c r="J574" s="21">
        <v>711.45029999999997</v>
      </c>
      <c r="O574" s="21" t="str">
        <f t="shared" si="12"/>
        <v/>
      </c>
      <c r="R574" s="26" t="s">
        <v>461</v>
      </c>
      <c r="S574" s="21">
        <v>657.66089999999997</v>
      </c>
    </row>
    <row r="575" spans="1:19" x14ac:dyDescent="0.25">
      <c r="A575" s="21">
        <v>574</v>
      </c>
      <c r="B575" s="26" t="s">
        <v>53</v>
      </c>
      <c r="C575" s="26" t="s">
        <v>82</v>
      </c>
      <c r="D575" s="26" t="s">
        <v>831</v>
      </c>
      <c r="E575" s="21">
        <v>38523</v>
      </c>
      <c r="F575" s="21">
        <v>19162</v>
      </c>
      <c r="G575" s="21">
        <v>19361</v>
      </c>
      <c r="H575" s="21">
        <v>36.66836</v>
      </c>
      <c r="I575" s="21">
        <v>-4.5529669999999998</v>
      </c>
      <c r="J575" s="21">
        <v>55.9206</v>
      </c>
      <c r="O575" s="21" t="str">
        <f t="shared" si="12"/>
        <v/>
      </c>
      <c r="R575" s="26" t="s">
        <v>1003</v>
      </c>
      <c r="S575" s="21">
        <v>546.83600000000001</v>
      </c>
    </row>
    <row r="576" spans="1:19" x14ac:dyDescent="0.25">
      <c r="A576" s="21">
        <v>575</v>
      </c>
      <c r="B576" s="26" t="s">
        <v>53</v>
      </c>
      <c r="C576" s="26" t="s">
        <v>83</v>
      </c>
      <c r="D576" s="26" t="s">
        <v>832</v>
      </c>
      <c r="E576" s="21">
        <v>24338</v>
      </c>
      <c r="F576" s="21">
        <v>12167</v>
      </c>
      <c r="G576" s="21">
        <v>12171</v>
      </c>
      <c r="H576" s="21">
        <v>36.641860000000001</v>
      </c>
      <c r="I576" s="21">
        <v>-4.6914470000000001</v>
      </c>
      <c r="J576" s="21">
        <v>262.00319999999999</v>
      </c>
      <c r="O576" s="21" t="str">
        <f t="shared" si="12"/>
        <v/>
      </c>
      <c r="R576" s="26" t="s">
        <v>1004</v>
      </c>
      <c r="S576" s="21">
        <v>173.46979999999999</v>
      </c>
    </row>
    <row r="577" spans="1:19" x14ac:dyDescent="0.25">
      <c r="A577" s="21">
        <v>576</v>
      </c>
      <c r="B577" s="26" t="s">
        <v>53</v>
      </c>
      <c r="C577" s="26" t="s">
        <v>84</v>
      </c>
      <c r="D577" s="26" t="s">
        <v>833</v>
      </c>
      <c r="E577" s="21">
        <v>1867</v>
      </c>
      <c r="F577" s="21">
        <v>962</v>
      </c>
      <c r="G577" s="21">
        <v>905</v>
      </c>
      <c r="H577" s="21">
        <v>36.808590000000002</v>
      </c>
      <c r="I577" s="21">
        <v>-4.217409</v>
      </c>
      <c r="J577" s="21">
        <v>251.38380000000001</v>
      </c>
      <c r="O577" s="21" t="str">
        <f t="shared" si="12"/>
        <v/>
      </c>
      <c r="R577" s="26" t="s">
        <v>618</v>
      </c>
      <c r="S577" s="21">
        <v>1160.896</v>
      </c>
    </row>
    <row r="578" spans="1:19" x14ac:dyDescent="0.25">
      <c r="A578" s="21">
        <v>577</v>
      </c>
      <c r="B578" s="26" t="s">
        <v>53</v>
      </c>
      <c r="C578" s="26" t="s">
        <v>85</v>
      </c>
      <c r="D578" s="26" t="s">
        <v>834</v>
      </c>
      <c r="E578" s="21">
        <v>2081</v>
      </c>
      <c r="F578" s="21">
        <v>1070</v>
      </c>
      <c r="G578" s="21">
        <v>1011</v>
      </c>
      <c r="H578" s="21">
        <v>37.003920000000001</v>
      </c>
      <c r="I578" s="21">
        <v>-5.0211930000000002</v>
      </c>
      <c r="J578" s="21">
        <v>511.26069999999999</v>
      </c>
      <c r="O578" s="21" t="str">
        <f t="shared" si="12"/>
        <v/>
      </c>
      <c r="R578" s="26" t="s">
        <v>707</v>
      </c>
      <c r="S578" s="21">
        <v>212.8246</v>
      </c>
    </row>
    <row r="579" spans="1:19" x14ac:dyDescent="0.25">
      <c r="A579" s="21">
        <v>578</v>
      </c>
      <c r="B579" s="26" t="s">
        <v>53</v>
      </c>
      <c r="C579" s="26" t="s">
        <v>86</v>
      </c>
      <c r="D579" s="26" t="s">
        <v>835</v>
      </c>
      <c r="E579" s="21">
        <v>3826</v>
      </c>
      <c r="F579" s="21">
        <v>1968</v>
      </c>
      <c r="G579" s="21">
        <v>1858</v>
      </c>
      <c r="H579" s="21">
        <v>36.825279999999999</v>
      </c>
      <c r="I579" s="21">
        <v>-4.5407190000000002</v>
      </c>
      <c r="J579" s="21">
        <v>369.31610000000001</v>
      </c>
      <c r="O579" s="21" t="str">
        <f t="shared" si="12"/>
        <v/>
      </c>
      <c r="R579" s="26" t="s">
        <v>1005</v>
      </c>
      <c r="S579" s="21">
        <v>235.63290000000001</v>
      </c>
    </row>
    <row r="580" spans="1:19" x14ac:dyDescent="0.25">
      <c r="A580" s="21">
        <v>579</v>
      </c>
      <c r="B580" s="26" t="s">
        <v>53</v>
      </c>
      <c r="C580" s="26" t="s">
        <v>87</v>
      </c>
      <c r="D580" s="26" t="s">
        <v>836</v>
      </c>
      <c r="E580" s="21">
        <v>13003</v>
      </c>
      <c r="F580" s="21">
        <v>6540</v>
      </c>
      <c r="G580" s="21">
        <v>6463</v>
      </c>
      <c r="H580" s="21">
        <v>36.82264</v>
      </c>
      <c r="I580" s="21">
        <v>-4.706715</v>
      </c>
      <c r="J580" s="21">
        <v>217.73830000000001</v>
      </c>
      <c r="O580" s="21" t="str">
        <f t="shared" si="12"/>
        <v/>
      </c>
      <c r="R580" s="26" t="s">
        <v>1006</v>
      </c>
      <c r="S580" s="21">
        <v>21.866050000000001</v>
      </c>
    </row>
    <row r="581" spans="1:19" x14ac:dyDescent="0.25">
      <c r="A581" s="21">
        <v>580</v>
      </c>
      <c r="B581" s="26" t="s">
        <v>53</v>
      </c>
      <c r="C581" s="26" t="s">
        <v>89</v>
      </c>
      <c r="D581" s="26" t="s">
        <v>837</v>
      </c>
      <c r="E581" s="21">
        <v>2082</v>
      </c>
      <c r="F581" s="21">
        <v>1051</v>
      </c>
      <c r="G581" s="21">
        <v>1031</v>
      </c>
      <c r="H581" s="21">
        <v>36.727679999999999</v>
      </c>
      <c r="I581" s="21">
        <v>-4.8564600000000002</v>
      </c>
      <c r="J581" s="21">
        <v>367.51249999999999</v>
      </c>
      <c r="O581" s="21" t="str">
        <f t="shared" si="12"/>
        <v/>
      </c>
      <c r="R581" s="26" t="s">
        <v>796</v>
      </c>
      <c r="S581" s="21">
        <v>546.5222</v>
      </c>
    </row>
    <row r="582" spans="1:19" x14ac:dyDescent="0.25">
      <c r="A582" s="21">
        <v>581</v>
      </c>
      <c r="B582" s="26" t="s">
        <v>53</v>
      </c>
      <c r="C582" s="26" t="s">
        <v>88</v>
      </c>
      <c r="D582" s="26" t="s">
        <v>838</v>
      </c>
      <c r="E582" s="21">
        <v>257</v>
      </c>
      <c r="F582" s="21">
        <v>132</v>
      </c>
      <c r="G582" s="21">
        <v>125</v>
      </c>
      <c r="H582" s="21">
        <v>36.63317</v>
      </c>
      <c r="I582" s="21">
        <v>-5.2022440000000003</v>
      </c>
      <c r="J582" s="21">
        <v>691.16269999999997</v>
      </c>
      <c r="O582" s="21" t="str">
        <f t="shared" si="12"/>
        <v/>
      </c>
      <c r="R582" s="26" t="s">
        <v>462</v>
      </c>
      <c r="S582" s="21">
        <v>219.07149999999999</v>
      </c>
    </row>
    <row r="583" spans="1:19" x14ac:dyDescent="0.25">
      <c r="A583" s="21">
        <v>582</v>
      </c>
      <c r="B583" s="26" t="s">
        <v>53</v>
      </c>
      <c r="C583" s="26" t="s">
        <v>90</v>
      </c>
      <c r="D583" s="26" t="s">
        <v>839</v>
      </c>
      <c r="E583" s="21">
        <v>41141</v>
      </c>
      <c r="F583" s="21">
        <v>20224</v>
      </c>
      <c r="G583" s="21">
        <v>20917</v>
      </c>
      <c r="H583" s="21">
        <v>37.019379999999998</v>
      </c>
      <c r="I583" s="21">
        <v>-4.5628849999999996</v>
      </c>
      <c r="J583" s="21">
        <v>519.30999999999995</v>
      </c>
      <c r="O583" s="21" t="str">
        <f t="shared" si="12"/>
        <v/>
      </c>
      <c r="R583" s="26" t="s">
        <v>797</v>
      </c>
      <c r="S583" s="21">
        <v>584.87699999999995</v>
      </c>
    </row>
    <row r="584" spans="1:19" x14ac:dyDescent="0.25">
      <c r="A584" s="21">
        <v>583</v>
      </c>
      <c r="B584" s="26" t="s">
        <v>53</v>
      </c>
      <c r="C584" s="26" t="s">
        <v>91</v>
      </c>
      <c r="D584" s="26" t="s">
        <v>840</v>
      </c>
      <c r="E584" s="21">
        <v>436</v>
      </c>
      <c r="F584" s="21">
        <v>226</v>
      </c>
      <c r="G584" s="21">
        <v>210</v>
      </c>
      <c r="H584" s="21">
        <v>36.837389999999999</v>
      </c>
      <c r="I584" s="21">
        <v>-3.990186</v>
      </c>
      <c r="J584" s="21">
        <v>434.62240000000003</v>
      </c>
      <c r="O584" s="21" t="str">
        <f t="shared" si="12"/>
        <v/>
      </c>
      <c r="R584" s="26" t="s">
        <v>391</v>
      </c>
      <c r="S584" s="21">
        <v>14.763730000000001</v>
      </c>
    </row>
    <row r="585" spans="1:19" x14ac:dyDescent="0.25">
      <c r="A585" s="21">
        <v>584</v>
      </c>
      <c r="B585" s="26" t="s">
        <v>53</v>
      </c>
      <c r="C585" s="26" t="s">
        <v>92</v>
      </c>
      <c r="D585" s="26" t="s">
        <v>841</v>
      </c>
      <c r="E585" s="21">
        <v>8490</v>
      </c>
      <c r="F585" s="21">
        <v>4278</v>
      </c>
      <c r="G585" s="21">
        <v>4212</v>
      </c>
      <c r="H585" s="21">
        <v>37.094810000000003</v>
      </c>
      <c r="I585" s="21">
        <v>-4.3875450000000003</v>
      </c>
      <c r="J585" s="21">
        <v>711.64589999999998</v>
      </c>
      <c r="O585" s="21" t="str">
        <f t="shared" si="12"/>
        <v/>
      </c>
      <c r="R585" s="26" t="s">
        <v>708</v>
      </c>
      <c r="S585" s="21">
        <v>519.94619999999998</v>
      </c>
    </row>
    <row r="586" spans="1:19" x14ac:dyDescent="0.25">
      <c r="A586" s="21">
        <v>585</v>
      </c>
      <c r="B586" s="26" t="s">
        <v>53</v>
      </c>
      <c r="C586" s="26" t="s">
        <v>93</v>
      </c>
      <c r="D586" s="26" t="s">
        <v>842</v>
      </c>
      <c r="E586" s="21">
        <v>2527</v>
      </c>
      <c r="F586" s="21">
        <v>1276</v>
      </c>
      <c r="G586" s="21">
        <v>1251</v>
      </c>
      <c r="H586" s="21">
        <v>36.877980000000001</v>
      </c>
      <c r="I586" s="21">
        <v>-4.8466420000000001</v>
      </c>
      <c r="J586" s="21">
        <v>408.74930000000001</v>
      </c>
      <c r="O586" s="21" t="str">
        <f t="shared" si="12"/>
        <v/>
      </c>
      <c r="R586" s="26" t="s">
        <v>392</v>
      </c>
      <c r="S586" s="21">
        <v>11.78617</v>
      </c>
    </row>
    <row r="587" spans="1:19" x14ac:dyDescent="0.25">
      <c r="A587" s="21">
        <v>586</v>
      </c>
      <c r="B587" s="26" t="s">
        <v>53</v>
      </c>
      <c r="C587" s="26" t="s">
        <v>94</v>
      </c>
      <c r="D587" s="26" t="s">
        <v>843</v>
      </c>
      <c r="E587" s="21">
        <v>1219</v>
      </c>
      <c r="F587" s="21">
        <v>640</v>
      </c>
      <c r="G587" s="21">
        <v>579</v>
      </c>
      <c r="H587" s="21">
        <v>36.814689999999999</v>
      </c>
      <c r="I587" s="21">
        <v>-4.0437159999999999</v>
      </c>
      <c r="J587" s="21">
        <v>395.6026</v>
      </c>
      <c r="O587" s="21" t="str">
        <f t="shared" si="12"/>
        <v/>
      </c>
      <c r="R587" s="26" t="s">
        <v>393</v>
      </c>
      <c r="S587" s="21">
        <v>162.2749</v>
      </c>
    </row>
    <row r="588" spans="1:19" x14ac:dyDescent="0.25">
      <c r="A588" s="21">
        <v>587</v>
      </c>
      <c r="B588" s="26" t="s">
        <v>53</v>
      </c>
      <c r="C588" s="26" t="s">
        <v>95</v>
      </c>
      <c r="D588" s="26" t="s">
        <v>844</v>
      </c>
      <c r="E588" s="21">
        <v>4157</v>
      </c>
      <c r="F588" s="21">
        <v>2049</v>
      </c>
      <c r="G588" s="21">
        <v>2108</v>
      </c>
      <c r="H588" s="21">
        <v>36.79936</v>
      </c>
      <c r="I588" s="21">
        <v>-5.1400639999999997</v>
      </c>
      <c r="J588" s="21">
        <v>596.14750000000004</v>
      </c>
      <c r="O588" s="21" t="str">
        <f t="shared" si="12"/>
        <v/>
      </c>
      <c r="R588" s="26" t="s">
        <v>903</v>
      </c>
      <c r="S588" s="21">
        <v>781.42510000000004</v>
      </c>
    </row>
    <row r="589" spans="1:19" x14ac:dyDescent="0.25">
      <c r="A589" s="21">
        <v>588</v>
      </c>
      <c r="B589" s="26" t="s">
        <v>53</v>
      </c>
      <c r="C589" s="26" t="s">
        <v>96</v>
      </c>
      <c r="D589" s="26" t="s">
        <v>845</v>
      </c>
      <c r="E589" s="21">
        <v>158</v>
      </c>
      <c r="F589" s="21">
        <v>83</v>
      </c>
      <c r="G589" s="21">
        <v>75</v>
      </c>
      <c r="H589" s="21">
        <v>36.639989999999997</v>
      </c>
      <c r="I589" s="21">
        <v>-5.245177</v>
      </c>
      <c r="J589" s="21">
        <v>743.50220000000002</v>
      </c>
      <c r="O589" s="21" t="str">
        <f t="shared" si="12"/>
        <v/>
      </c>
      <c r="R589" s="26" t="s">
        <v>619</v>
      </c>
      <c r="S589" s="21">
        <v>728.15890000000002</v>
      </c>
    </row>
    <row r="590" spans="1:19" x14ac:dyDescent="0.25">
      <c r="A590" s="21">
        <v>589</v>
      </c>
      <c r="B590" s="26" t="s">
        <v>53</v>
      </c>
      <c r="C590" s="26" t="s">
        <v>97</v>
      </c>
      <c r="D590" s="26" t="s">
        <v>846</v>
      </c>
      <c r="E590" s="21">
        <v>253</v>
      </c>
      <c r="F590" s="21">
        <v>124</v>
      </c>
      <c r="G590" s="21">
        <v>129</v>
      </c>
      <c r="H590" s="21">
        <v>36.60577</v>
      </c>
      <c r="I590" s="21">
        <v>-5.2689389999999996</v>
      </c>
      <c r="J590" s="21">
        <v>694.83730000000003</v>
      </c>
      <c r="O590" s="21" t="str">
        <f t="shared" si="12"/>
        <v/>
      </c>
      <c r="R590" s="26" t="s">
        <v>278</v>
      </c>
      <c r="S590" s="21">
        <v>194.99469999999999</v>
      </c>
    </row>
    <row r="591" spans="1:19" x14ac:dyDescent="0.25">
      <c r="A591" s="21">
        <v>590</v>
      </c>
      <c r="B591" s="26" t="s">
        <v>53</v>
      </c>
      <c r="C591" s="26" t="s">
        <v>98</v>
      </c>
      <c r="D591" s="26" t="s">
        <v>847</v>
      </c>
      <c r="E591" s="21">
        <v>7105</v>
      </c>
      <c r="F591" s="21">
        <v>3555</v>
      </c>
      <c r="G591" s="21">
        <v>3550</v>
      </c>
      <c r="H591" s="21">
        <v>36.524459999999998</v>
      </c>
      <c r="I591" s="21">
        <v>-5.0463050000000003</v>
      </c>
      <c r="J591" s="21">
        <v>169.0831</v>
      </c>
      <c r="O591" s="21" t="str">
        <f t="shared" si="12"/>
        <v/>
      </c>
      <c r="R591" s="26" t="s">
        <v>709</v>
      </c>
      <c r="S591" s="21">
        <v>7.5011599999999996</v>
      </c>
    </row>
    <row r="592" spans="1:19" x14ac:dyDescent="0.25">
      <c r="A592" s="21">
        <v>591</v>
      </c>
      <c r="B592" s="26" t="s">
        <v>53</v>
      </c>
      <c r="C592" s="26" t="s">
        <v>99</v>
      </c>
      <c r="D592" s="26" t="s">
        <v>848</v>
      </c>
      <c r="E592" s="21">
        <v>470</v>
      </c>
      <c r="F592" s="21">
        <v>255</v>
      </c>
      <c r="G592" s="21">
        <v>215</v>
      </c>
      <c r="H592" s="21">
        <v>36.59402</v>
      </c>
      <c r="I592" s="21">
        <v>-5.2611629999999998</v>
      </c>
      <c r="J592" s="21">
        <v>680.53250000000003</v>
      </c>
      <c r="O592" s="21" t="str">
        <f t="shared" si="12"/>
        <v/>
      </c>
      <c r="R592" s="26" t="s">
        <v>279</v>
      </c>
      <c r="S592" s="21">
        <v>540.99839999999995</v>
      </c>
    </row>
    <row r="593" spans="1:19" x14ac:dyDescent="0.25">
      <c r="A593" s="21">
        <v>592</v>
      </c>
      <c r="B593" s="26" t="s">
        <v>53</v>
      </c>
      <c r="C593" s="26" t="s">
        <v>100</v>
      </c>
      <c r="D593" s="26" t="s">
        <v>849</v>
      </c>
      <c r="E593" s="21">
        <v>66598</v>
      </c>
      <c r="F593" s="21">
        <v>32976</v>
      </c>
      <c r="G593" s="21">
        <v>33622</v>
      </c>
      <c r="H593" s="21">
        <v>36.595230000000001</v>
      </c>
      <c r="I593" s="21">
        <v>-4.5733680000000003</v>
      </c>
      <c r="J593" s="21">
        <v>246.06540000000001</v>
      </c>
      <c r="O593" s="21" t="str">
        <f t="shared" si="12"/>
        <v/>
      </c>
      <c r="R593" s="26" t="s">
        <v>620</v>
      </c>
      <c r="S593" s="21">
        <v>907.99549999999999</v>
      </c>
    </row>
    <row r="594" spans="1:19" x14ac:dyDescent="0.25">
      <c r="A594" s="21">
        <v>593</v>
      </c>
      <c r="B594" s="26" t="s">
        <v>53</v>
      </c>
      <c r="C594" s="26" t="s">
        <v>101</v>
      </c>
      <c r="D594" s="26" t="s">
        <v>850</v>
      </c>
      <c r="E594" s="21">
        <v>1568</v>
      </c>
      <c r="F594" s="21">
        <v>808</v>
      </c>
      <c r="G594" s="21">
        <v>760</v>
      </c>
      <c r="H594" s="21">
        <v>36.832079999999998</v>
      </c>
      <c r="I594" s="21">
        <v>-4.1923899999999996</v>
      </c>
      <c r="J594" s="21">
        <v>107.37</v>
      </c>
      <c r="O594" s="21" t="str">
        <f t="shared" si="12"/>
        <v/>
      </c>
      <c r="R594" s="26" t="s">
        <v>621</v>
      </c>
      <c r="S594" s="21">
        <v>855.64120000000003</v>
      </c>
    </row>
    <row r="595" spans="1:19" x14ac:dyDescent="0.25">
      <c r="A595" s="21">
        <v>594</v>
      </c>
      <c r="B595" s="26" t="s">
        <v>53</v>
      </c>
      <c r="C595" s="26" t="s">
        <v>103</v>
      </c>
      <c r="D595" s="26" t="s">
        <v>851</v>
      </c>
      <c r="E595" s="21">
        <v>3047</v>
      </c>
      <c r="F595" s="21">
        <v>1541</v>
      </c>
      <c r="G595" s="21">
        <v>1506</v>
      </c>
      <c r="H595" s="21">
        <v>36.791200000000003</v>
      </c>
      <c r="I595" s="21">
        <v>-4.1599680000000001</v>
      </c>
      <c r="J595" s="21">
        <v>129.8485</v>
      </c>
      <c r="O595" s="21" t="str">
        <f t="shared" si="12"/>
        <v/>
      </c>
      <c r="R595" s="26" t="s">
        <v>798</v>
      </c>
      <c r="S595" s="21">
        <v>679.35969999999998</v>
      </c>
    </row>
    <row r="596" spans="1:19" x14ac:dyDescent="0.25">
      <c r="A596" s="21">
        <v>595</v>
      </c>
      <c r="B596" s="26" t="s">
        <v>53</v>
      </c>
      <c r="C596" s="26" t="s">
        <v>104</v>
      </c>
      <c r="D596" s="26" t="s">
        <v>852</v>
      </c>
      <c r="E596" s="21">
        <v>1513</v>
      </c>
      <c r="F596" s="21">
        <v>787</v>
      </c>
      <c r="G596" s="21">
        <v>726</v>
      </c>
      <c r="H596" s="21">
        <v>36.718739999999997</v>
      </c>
      <c r="I596" s="21">
        <v>-5.2531499999999998</v>
      </c>
      <c r="J596" s="21">
        <v>565.65409999999997</v>
      </c>
      <c r="O596" s="21" t="str">
        <f t="shared" si="12"/>
        <v/>
      </c>
      <c r="R596" s="26" t="s">
        <v>280</v>
      </c>
      <c r="S596" s="21">
        <v>404.83229999999998</v>
      </c>
    </row>
    <row r="597" spans="1:19" x14ac:dyDescent="0.25">
      <c r="A597" s="21">
        <v>596</v>
      </c>
      <c r="B597" s="26" t="s">
        <v>53</v>
      </c>
      <c r="C597" s="26" t="s">
        <v>102</v>
      </c>
      <c r="D597" s="26" t="s">
        <v>853</v>
      </c>
      <c r="E597" s="21">
        <v>521</v>
      </c>
      <c r="F597" s="21">
        <v>258</v>
      </c>
      <c r="G597" s="21">
        <v>263</v>
      </c>
      <c r="H597" s="21">
        <v>36.551690000000001</v>
      </c>
      <c r="I597" s="21">
        <v>-5.2768319999999997</v>
      </c>
      <c r="J597" s="21">
        <v>536.67160000000001</v>
      </c>
      <c r="O597" s="21" t="str">
        <f t="shared" si="12"/>
        <v/>
      </c>
      <c r="R597" s="26" t="s">
        <v>463</v>
      </c>
      <c r="S597" s="21">
        <v>331.65050000000002</v>
      </c>
    </row>
    <row r="598" spans="1:19" x14ac:dyDescent="0.25">
      <c r="A598" s="21">
        <v>597</v>
      </c>
      <c r="B598" s="26" t="s">
        <v>53</v>
      </c>
      <c r="C598" s="26" t="s">
        <v>105</v>
      </c>
      <c r="D598" s="26" t="s">
        <v>854</v>
      </c>
      <c r="E598" s="21">
        <v>963</v>
      </c>
      <c r="F598" s="21">
        <v>499</v>
      </c>
      <c r="G598" s="21">
        <v>464</v>
      </c>
      <c r="H598" s="21">
        <v>36.814459999999997</v>
      </c>
      <c r="I598" s="21">
        <v>-4.23489</v>
      </c>
      <c r="J598" s="21">
        <v>253.297</v>
      </c>
      <c r="O598" s="21" t="str">
        <f t="shared" si="12"/>
        <v/>
      </c>
      <c r="R598" s="26" t="s">
        <v>1007</v>
      </c>
      <c r="S598" s="21">
        <v>462.95569999999998</v>
      </c>
    </row>
    <row r="599" spans="1:19" x14ac:dyDescent="0.25">
      <c r="A599" s="21">
        <v>598</v>
      </c>
      <c r="B599" s="26" t="s">
        <v>53</v>
      </c>
      <c r="C599" s="26" t="s">
        <v>106</v>
      </c>
      <c r="D599" s="26" t="s">
        <v>855</v>
      </c>
      <c r="E599" s="21">
        <v>1929</v>
      </c>
      <c r="F599" s="21">
        <v>973</v>
      </c>
      <c r="G599" s="21">
        <v>956</v>
      </c>
      <c r="H599" s="21">
        <v>36.789929999999998</v>
      </c>
      <c r="I599" s="21">
        <v>-4.9464069999999998</v>
      </c>
      <c r="J599" s="21">
        <v>578.50440000000003</v>
      </c>
      <c r="O599" s="21" t="str">
        <f t="shared" si="12"/>
        <v/>
      </c>
      <c r="R599" s="26" t="s">
        <v>904</v>
      </c>
      <c r="S599" s="21">
        <v>3.764837</v>
      </c>
    </row>
    <row r="600" spans="1:19" x14ac:dyDescent="0.25">
      <c r="A600" s="21">
        <v>599</v>
      </c>
      <c r="B600" s="26" t="s">
        <v>53</v>
      </c>
      <c r="C600" s="26" t="s">
        <v>107</v>
      </c>
      <c r="D600" s="26" t="s">
        <v>856</v>
      </c>
      <c r="E600" s="21">
        <v>8524</v>
      </c>
      <c r="F600" s="21">
        <v>4265</v>
      </c>
      <c r="G600" s="21">
        <v>4259</v>
      </c>
      <c r="H600" s="21">
        <v>37.045409999999997</v>
      </c>
      <c r="I600" s="21">
        <v>-4.8615250000000003</v>
      </c>
      <c r="J600" s="21">
        <v>458.54590000000002</v>
      </c>
      <c r="O600" s="21" t="str">
        <f t="shared" si="12"/>
        <v/>
      </c>
      <c r="R600" s="26" t="s">
        <v>1008</v>
      </c>
      <c r="S600" s="21">
        <v>11.999879999999999</v>
      </c>
    </row>
    <row r="601" spans="1:19" x14ac:dyDescent="0.25">
      <c r="A601" s="21">
        <v>600</v>
      </c>
      <c r="B601" s="26" t="s">
        <v>53</v>
      </c>
      <c r="C601" s="26" t="s">
        <v>108</v>
      </c>
      <c r="D601" s="26" t="s">
        <v>857</v>
      </c>
      <c r="E601" s="21">
        <v>1737</v>
      </c>
      <c r="F601" s="21">
        <v>911</v>
      </c>
      <c r="G601" s="21">
        <v>826</v>
      </c>
      <c r="H601" s="21">
        <v>36.873449999999998</v>
      </c>
      <c r="I601" s="21">
        <v>-4.0820420000000004</v>
      </c>
      <c r="J601" s="21">
        <v>653.66409999999996</v>
      </c>
      <c r="O601" s="21" t="str">
        <f t="shared" si="12"/>
        <v/>
      </c>
      <c r="R601" s="26" t="s">
        <v>905</v>
      </c>
      <c r="S601" s="21">
        <v>390.23259999999999</v>
      </c>
    </row>
    <row r="602" spans="1:19" x14ac:dyDescent="0.25">
      <c r="A602" s="21">
        <v>601</v>
      </c>
      <c r="B602" s="26" t="s">
        <v>53</v>
      </c>
      <c r="C602" s="26" t="s">
        <v>109</v>
      </c>
      <c r="D602" s="26" t="s">
        <v>858</v>
      </c>
      <c r="E602" s="21">
        <v>842</v>
      </c>
      <c r="F602" s="21">
        <v>426</v>
      </c>
      <c r="G602" s="21">
        <v>416</v>
      </c>
      <c r="H602" s="21">
        <v>36.846069999999997</v>
      </c>
      <c r="I602" s="21">
        <v>-3.9875850000000002</v>
      </c>
      <c r="J602" s="21">
        <v>579.26170000000002</v>
      </c>
      <c r="O602" s="21" t="str">
        <f t="shared" si="12"/>
        <v/>
      </c>
      <c r="R602" s="26" t="s">
        <v>281</v>
      </c>
      <c r="S602" s="21">
        <v>133.20920000000001</v>
      </c>
    </row>
    <row r="603" spans="1:19" x14ac:dyDescent="0.25">
      <c r="A603" s="21">
        <v>602</v>
      </c>
      <c r="B603" s="26" t="s">
        <v>53</v>
      </c>
      <c r="C603" s="26" t="s">
        <v>110</v>
      </c>
      <c r="D603" s="26" t="s">
        <v>859</v>
      </c>
      <c r="E603" s="21">
        <v>1738</v>
      </c>
      <c r="F603" s="21">
        <v>885</v>
      </c>
      <c r="G603" s="21">
        <v>853</v>
      </c>
      <c r="H603" s="21">
        <v>36.951459999999997</v>
      </c>
      <c r="I603" s="21">
        <v>-5.0243080000000004</v>
      </c>
      <c r="J603" s="21">
        <v>750.48059999999998</v>
      </c>
      <c r="O603" s="21" t="str">
        <f t="shared" si="12"/>
        <v/>
      </c>
      <c r="R603" s="26" t="s">
        <v>710</v>
      </c>
      <c r="S603" s="21">
        <v>97.398480000000006</v>
      </c>
    </row>
    <row r="604" spans="1:19" x14ac:dyDescent="0.25">
      <c r="A604" s="21">
        <v>603</v>
      </c>
      <c r="B604" s="26" t="s">
        <v>53</v>
      </c>
      <c r="C604" s="26" t="s">
        <v>111</v>
      </c>
      <c r="D604" s="26" t="s">
        <v>860</v>
      </c>
      <c r="E604" s="21">
        <v>775</v>
      </c>
      <c r="F604" s="21">
        <v>395</v>
      </c>
      <c r="G604" s="21">
        <v>380</v>
      </c>
      <c r="H604" s="21">
        <v>36.851579999999998</v>
      </c>
      <c r="I604" s="21">
        <v>-4.8182390000000002</v>
      </c>
      <c r="J604" s="21">
        <v>527.61239999999998</v>
      </c>
      <c r="O604" s="21" t="str">
        <f t="shared" si="12"/>
        <v/>
      </c>
      <c r="R604" s="26" t="s">
        <v>1009</v>
      </c>
      <c r="S604" s="21">
        <v>403.13150000000002</v>
      </c>
    </row>
    <row r="605" spans="1:19" x14ac:dyDescent="0.25">
      <c r="A605" s="21">
        <v>604</v>
      </c>
      <c r="B605" s="26" t="s">
        <v>53</v>
      </c>
      <c r="C605" s="26" t="s">
        <v>112</v>
      </c>
      <c r="D605" s="26" t="s">
        <v>861</v>
      </c>
      <c r="E605" s="21">
        <v>247</v>
      </c>
      <c r="F605" s="21">
        <v>129</v>
      </c>
      <c r="G605" s="21">
        <v>118</v>
      </c>
      <c r="H605" s="21">
        <v>36.645400000000002</v>
      </c>
      <c r="I605" s="21">
        <v>-5.153931</v>
      </c>
      <c r="J605" s="21">
        <v>835.13369999999998</v>
      </c>
      <c r="O605" s="21" t="str">
        <f t="shared" si="12"/>
        <v/>
      </c>
      <c r="R605" s="26" t="s">
        <v>906</v>
      </c>
      <c r="S605" s="21">
        <v>721.03179999999998</v>
      </c>
    </row>
    <row r="606" spans="1:19" x14ac:dyDescent="0.25">
      <c r="A606" s="21">
        <v>605</v>
      </c>
      <c r="B606" s="26" t="s">
        <v>53</v>
      </c>
      <c r="C606" s="26" t="s">
        <v>113</v>
      </c>
      <c r="D606" s="26" t="s">
        <v>862</v>
      </c>
      <c r="E606" s="21">
        <v>24592</v>
      </c>
      <c r="F606" s="21">
        <v>12497</v>
      </c>
      <c r="G606" s="21">
        <v>12095</v>
      </c>
      <c r="H606" s="21">
        <v>36.711309999999997</v>
      </c>
      <c r="I606" s="21">
        <v>-4.6307410000000004</v>
      </c>
      <c r="J606" s="21">
        <v>103.49299999999999</v>
      </c>
      <c r="O606" s="21" t="str">
        <f t="shared" si="12"/>
        <v/>
      </c>
      <c r="R606" s="26" t="s">
        <v>1010</v>
      </c>
      <c r="S606" s="21">
        <v>337.517</v>
      </c>
    </row>
    <row r="607" spans="1:19" x14ac:dyDescent="0.25">
      <c r="A607" s="21">
        <v>606</v>
      </c>
      <c r="B607" s="26" t="s">
        <v>53</v>
      </c>
      <c r="C607" s="26" t="s">
        <v>114</v>
      </c>
      <c r="D607" s="26" t="s">
        <v>863</v>
      </c>
      <c r="E607" s="21">
        <v>3418</v>
      </c>
      <c r="F607" s="21">
        <v>1815</v>
      </c>
      <c r="G607" s="21">
        <v>1603</v>
      </c>
      <c r="H607" s="21">
        <v>36.894039999999997</v>
      </c>
      <c r="I607" s="21">
        <v>-4.4289769999999997</v>
      </c>
      <c r="J607" s="21">
        <v>543.28390000000002</v>
      </c>
      <c r="O607" s="21" t="str">
        <f t="shared" si="12"/>
        <v/>
      </c>
      <c r="R607" s="26" t="s">
        <v>282</v>
      </c>
      <c r="S607" s="21">
        <v>11.84886</v>
      </c>
    </row>
    <row r="608" spans="1:19" x14ac:dyDescent="0.25">
      <c r="A608" s="21">
        <v>607</v>
      </c>
      <c r="B608" s="26" t="s">
        <v>53</v>
      </c>
      <c r="C608" s="26" t="s">
        <v>115</v>
      </c>
      <c r="D608" s="26" t="s">
        <v>864</v>
      </c>
      <c r="E608" s="21">
        <v>2599</v>
      </c>
      <c r="F608" s="21">
        <v>1363</v>
      </c>
      <c r="G608" s="21">
        <v>1236</v>
      </c>
      <c r="H608" s="21">
        <v>36.785240000000002</v>
      </c>
      <c r="I608" s="21">
        <v>-4.8421669999999999</v>
      </c>
      <c r="J608" s="21">
        <v>469.90980000000002</v>
      </c>
      <c r="O608" s="21" t="str">
        <f t="shared" si="12"/>
        <v/>
      </c>
      <c r="R608" s="26" t="s">
        <v>711</v>
      </c>
      <c r="S608" s="21">
        <v>221.47790000000001</v>
      </c>
    </row>
    <row r="609" spans="1:19" x14ac:dyDescent="0.25">
      <c r="A609" s="21">
        <v>608</v>
      </c>
      <c r="B609" s="26" t="s">
        <v>53</v>
      </c>
      <c r="C609" s="26" t="s">
        <v>116</v>
      </c>
      <c r="D609" s="26" t="s">
        <v>865</v>
      </c>
      <c r="E609" s="21">
        <v>5954</v>
      </c>
      <c r="F609" s="21">
        <v>3069</v>
      </c>
      <c r="G609" s="21">
        <v>2885</v>
      </c>
      <c r="H609" s="21">
        <v>36.443330000000003</v>
      </c>
      <c r="I609" s="21">
        <v>-5.2735190000000003</v>
      </c>
      <c r="J609" s="21">
        <v>395.24250000000001</v>
      </c>
      <c r="O609" s="21" t="str">
        <f t="shared" si="12"/>
        <v/>
      </c>
      <c r="R609" s="26" t="s">
        <v>394</v>
      </c>
      <c r="S609" s="21">
        <v>14.286530000000001</v>
      </c>
    </row>
    <row r="610" spans="1:19" x14ac:dyDescent="0.25">
      <c r="A610" s="21">
        <v>609</v>
      </c>
      <c r="B610" s="26" t="s">
        <v>53</v>
      </c>
      <c r="C610" s="26" t="s">
        <v>117</v>
      </c>
      <c r="D610" s="26" t="s">
        <v>866</v>
      </c>
      <c r="E610" s="21">
        <v>21561</v>
      </c>
      <c r="F610" s="21">
        <v>10868</v>
      </c>
      <c r="G610" s="21">
        <v>10693</v>
      </c>
      <c r="H610" s="21">
        <v>36.658709999999999</v>
      </c>
      <c r="I610" s="21">
        <v>-4.7603439999999999</v>
      </c>
      <c r="J610" s="21">
        <v>212.39179999999999</v>
      </c>
      <c r="O610" s="21" t="str">
        <f t="shared" si="12"/>
        <v/>
      </c>
      <c r="R610" s="26" t="s">
        <v>1011</v>
      </c>
      <c r="S610" s="21">
        <v>207.1797</v>
      </c>
    </row>
    <row r="611" spans="1:19" x14ac:dyDescent="0.25">
      <c r="A611" s="21">
        <v>610</v>
      </c>
      <c r="B611" s="26" t="s">
        <v>53</v>
      </c>
      <c r="C611" s="26" t="s">
        <v>118</v>
      </c>
      <c r="D611" s="26" t="s">
        <v>867</v>
      </c>
      <c r="E611" s="21">
        <v>3444</v>
      </c>
      <c r="F611" s="21">
        <v>1765</v>
      </c>
      <c r="G611" s="21">
        <v>1679</v>
      </c>
      <c r="H611" s="21">
        <v>36.90502</v>
      </c>
      <c r="I611" s="21">
        <v>-4.3352120000000003</v>
      </c>
      <c r="J611" s="21">
        <v>674.26409999999998</v>
      </c>
      <c r="O611" s="21" t="str">
        <f t="shared" si="12"/>
        <v/>
      </c>
      <c r="R611" s="26" t="s">
        <v>622</v>
      </c>
      <c r="S611" s="21">
        <v>778.73019999999997</v>
      </c>
    </row>
    <row r="612" spans="1:19" x14ac:dyDescent="0.25">
      <c r="A612" s="21">
        <v>611</v>
      </c>
      <c r="B612" s="26" t="s">
        <v>53</v>
      </c>
      <c r="C612" s="26" t="s">
        <v>119</v>
      </c>
      <c r="D612" s="26" t="s">
        <v>868</v>
      </c>
      <c r="E612" s="21">
        <v>1385</v>
      </c>
      <c r="F612" s="21">
        <v>751</v>
      </c>
      <c r="G612" s="21">
        <v>634</v>
      </c>
      <c r="H612" s="21">
        <v>36.84872</v>
      </c>
      <c r="I612" s="21">
        <v>-4.2470610000000004</v>
      </c>
      <c r="J612" s="21">
        <v>691.99019999999996</v>
      </c>
      <c r="O612" s="21" t="str">
        <f t="shared" si="12"/>
        <v/>
      </c>
      <c r="R612" s="26" t="s">
        <v>799</v>
      </c>
      <c r="S612" s="21">
        <v>589.61850000000004</v>
      </c>
    </row>
    <row r="613" spans="1:19" x14ac:dyDescent="0.25">
      <c r="A613" s="21">
        <v>612</v>
      </c>
      <c r="B613" s="26" t="s">
        <v>53</v>
      </c>
      <c r="C613" s="26" t="s">
        <v>120</v>
      </c>
      <c r="D613" s="26" t="s">
        <v>869</v>
      </c>
      <c r="E613" s="21">
        <v>3503</v>
      </c>
      <c r="F613" s="21">
        <v>1759</v>
      </c>
      <c r="G613" s="21">
        <v>1744</v>
      </c>
      <c r="H613" s="21">
        <v>36.832999999999998</v>
      </c>
      <c r="I613" s="21">
        <v>-3.974872</v>
      </c>
      <c r="J613" s="21">
        <v>631.62030000000004</v>
      </c>
      <c r="O613" s="21" t="str">
        <f t="shared" si="12"/>
        <v/>
      </c>
      <c r="R613" s="26" t="s">
        <v>464</v>
      </c>
      <c r="S613" s="21">
        <v>632.53859999999997</v>
      </c>
    </row>
    <row r="614" spans="1:19" x14ac:dyDescent="0.25">
      <c r="A614" s="21">
        <v>613</v>
      </c>
      <c r="B614" s="26" t="s">
        <v>53</v>
      </c>
      <c r="C614" s="26" t="s">
        <v>121</v>
      </c>
      <c r="D614" s="26" t="s">
        <v>870</v>
      </c>
      <c r="E614" s="21">
        <v>3304</v>
      </c>
      <c r="F614" s="21">
        <v>1694</v>
      </c>
      <c r="G614" s="21">
        <v>1610</v>
      </c>
      <c r="H614" s="21">
        <v>36.616909999999997</v>
      </c>
      <c r="I614" s="21">
        <v>-5.3426809999999998</v>
      </c>
      <c r="J614" s="21">
        <v>623.01310000000001</v>
      </c>
      <c r="O614" s="21" t="str">
        <f t="shared" si="12"/>
        <v/>
      </c>
      <c r="R614" s="26" t="s">
        <v>800</v>
      </c>
      <c r="S614" s="21">
        <v>829.24800000000005</v>
      </c>
    </row>
    <row r="615" spans="1:19" x14ac:dyDescent="0.25">
      <c r="A615" s="21">
        <v>614</v>
      </c>
      <c r="B615" s="26" t="s">
        <v>53</v>
      </c>
      <c r="C615" s="26" t="s">
        <v>122</v>
      </c>
      <c r="D615" s="26" t="s">
        <v>871</v>
      </c>
      <c r="E615" s="21">
        <v>1431</v>
      </c>
      <c r="F615" s="21">
        <v>699</v>
      </c>
      <c r="G615" s="21">
        <v>732</v>
      </c>
      <c r="H615" s="21">
        <v>37.235869999999998</v>
      </c>
      <c r="I615" s="21">
        <v>-4.4896409999999998</v>
      </c>
      <c r="J615" s="21">
        <v>316.25299999999999</v>
      </c>
      <c r="O615" s="21" t="str">
        <f t="shared" si="12"/>
        <v/>
      </c>
      <c r="R615" s="26" t="s">
        <v>623</v>
      </c>
      <c r="S615" s="21">
        <v>545.42070000000001</v>
      </c>
    </row>
    <row r="616" spans="1:19" x14ac:dyDescent="0.25">
      <c r="A616" s="21">
        <v>615</v>
      </c>
      <c r="B616" s="26" t="s">
        <v>53</v>
      </c>
      <c r="C616" s="26" t="s">
        <v>124</v>
      </c>
      <c r="D616" s="26" t="s">
        <v>872</v>
      </c>
      <c r="E616" s="21">
        <v>3884</v>
      </c>
      <c r="F616" s="21">
        <v>1951</v>
      </c>
      <c r="G616" s="21">
        <v>1933</v>
      </c>
      <c r="H616" s="21">
        <v>37.269629999999999</v>
      </c>
      <c r="I616" s="21">
        <v>-4.4140790000000001</v>
      </c>
      <c r="J616" s="21">
        <v>407.23410000000001</v>
      </c>
      <c r="O616" s="21" t="str">
        <f t="shared" si="12"/>
        <v/>
      </c>
      <c r="R616" s="26" t="s">
        <v>907</v>
      </c>
      <c r="S616" s="21">
        <v>585.0521</v>
      </c>
    </row>
    <row r="617" spans="1:19" x14ac:dyDescent="0.25">
      <c r="A617" s="21">
        <v>616</v>
      </c>
      <c r="B617" s="26" t="s">
        <v>53</v>
      </c>
      <c r="C617" s="26" t="s">
        <v>123</v>
      </c>
      <c r="D617" s="26" t="s">
        <v>873</v>
      </c>
      <c r="E617" s="21">
        <v>1643</v>
      </c>
      <c r="F617" s="21">
        <v>816</v>
      </c>
      <c r="G617" s="21">
        <v>827</v>
      </c>
      <c r="H617" s="21">
        <v>36.876370000000001</v>
      </c>
      <c r="I617" s="21">
        <v>-5.0457289999999997</v>
      </c>
      <c r="J617" s="21">
        <v>727.99310000000003</v>
      </c>
      <c r="O617" s="21" t="str">
        <f t="shared" si="12"/>
        <v/>
      </c>
      <c r="R617" s="26" t="s">
        <v>624</v>
      </c>
      <c r="S617" s="21">
        <v>20.959119999999999</v>
      </c>
    </row>
    <row r="618" spans="1:19" x14ac:dyDescent="0.25">
      <c r="A618" s="21">
        <v>617</v>
      </c>
      <c r="B618" s="26" t="s">
        <v>53</v>
      </c>
      <c r="C618" s="26" t="s">
        <v>125</v>
      </c>
      <c r="D618" s="26" t="s">
        <v>874</v>
      </c>
      <c r="E618" s="21">
        <v>605</v>
      </c>
      <c r="F618" s="21">
        <v>308</v>
      </c>
      <c r="G618" s="21">
        <v>297</v>
      </c>
      <c r="H618" s="21">
        <v>36.830689999999997</v>
      </c>
      <c r="I618" s="21">
        <v>-4.2280069999999998</v>
      </c>
      <c r="J618" s="21">
        <v>297.52809999999999</v>
      </c>
      <c r="O618" s="21" t="str">
        <f t="shared" si="12"/>
        <v/>
      </c>
      <c r="R618" s="26" t="s">
        <v>1012</v>
      </c>
      <c r="S618" s="21">
        <v>153.26169999999999</v>
      </c>
    </row>
    <row r="619" spans="1:19" x14ac:dyDescent="0.25">
      <c r="A619" s="21">
        <v>618</v>
      </c>
      <c r="B619" s="26" t="s">
        <v>53</v>
      </c>
      <c r="C619" s="26" t="s">
        <v>126</v>
      </c>
      <c r="D619" s="26" t="s">
        <v>875</v>
      </c>
      <c r="E619" s="21">
        <v>67080</v>
      </c>
      <c r="F619" s="21">
        <v>33234</v>
      </c>
      <c r="G619" s="21">
        <v>33846</v>
      </c>
      <c r="H619" s="21">
        <v>36.424770000000002</v>
      </c>
      <c r="I619" s="21">
        <v>-5.1449030000000002</v>
      </c>
      <c r="J619" s="21">
        <v>9.6558639999999993</v>
      </c>
      <c r="O619" s="21" t="str">
        <f t="shared" si="12"/>
        <v/>
      </c>
      <c r="R619" s="26" t="s">
        <v>712</v>
      </c>
      <c r="S619" s="21">
        <v>131.22540000000001</v>
      </c>
    </row>
    <row r="620" spans="1:19" x14ac:dyDescent="0.25">
      <c r="A620" s="21">
        <v>619</v>
      </c>
      <c r="B620" s="26" t="s">
        <v>53</v>
      </c>
      <c r="C620" s="26" t="s">
        <v>127</v>
      </c>
      <c r="D620" s="26" t="s">
        <v>876</v>
      </c>
      <c r="E620" s="21">
        <v>265</v>
      </c>
      <c r="F620" s="21">
        <v>130</v>
      </c>
      <c r="G620" s="21">
        <v>135</v>
      </c>
      <c r="H620" s="21">
        <v>36.616199999999999</v>
      </c>
      <c r="I620" s="21">
        <v>-5.189152</v>
      </c>
      <c r="J620" s="21">
        <v>632.20320000000004</v>
      </c>
      <c r="O620" s="21" t="str">
        <f t="shared" si="12"/>
        <v/>
      </c>
      <c r="R620" s="26" t="s">
        <v>395</v>
      </c>
      <c r="S620" s="21">
        <v>21.143129999999999</v>
      </c>
    </row>
    <row r="621" spans="1:19" x14ac:dyDescent="0.25">
      <c r="A621" s="21">
        <v>620</v>
      </c>
      <c r="B621" s="26" t="s">
        <v>53</v>
      </c>
      <c r="C621" s="26" t="s">
        <v>128</v>
      </c>
      <c r="D621" s="26" t="s">
        <v>877</v>
      </c>
      <c r="E621" s="21">
        <v>3065</v>
      </c>
      <c r="F621" s="21">
        <v>1557</v>
      </c>
      <c r="G621" s="21">
        <v>1508</v>
      </c>
      <c r="H621" s="21">
        <v>36.792520000000003</v>
      </c>
      <c r="I621" s="21">
        <v>-3.8980760000000001</v>
      </c>
      <c r="J621" s="21">
        <v>326.02659999999997</v>
      </c>
      <c r="O621" s="21" t="str">
        <f t="shared" ref="O621:O684" si="13">IFERROR(VLOOKUP($O$1,B621:D1393,3,FALSE),"")</f>
        <v/>
      </c>
      <c r="R621" s="26" t="s">
        <v>396</v>
      </c>
      <c r="S621" s="21">
        <v>142.0624</v>
      </c>
    </row>
    <row r="622" spans="1:19" x14ac:dyDescent="0.25">
      <c r="A622" s="21">
        <v>621</v>
      </c>
      <c r="B622" s="26" t="s">
        <v>53</v>
      </c>
      <c r="C622" s="26" t="s">
        <v>129</v>
      </c>
      <c r="D622" s="26" t="s">
        <v>878</v>
      </c>
      <c r="E622" s="21">
        <v>77525</v>
      </c>
      <c r="F622" s="21">
        <v>37983</v>
      </c>
      <c r="G622" s="21">
        <v>39542</v>
      </c>
      <c r="H622" s="21">
        <v>36.539009999999998</v>
      </c>
      <c r="I622" s="21">
        <v>-4.6243530000000002</v>
      </c>
      <c r="J622" s="21">
        <v>9.7021829999999998</v>
      </c>
      <c r="O622" s="21" t="str">
        <f t="shared" si="13"/>
        <v/>
      </c>
      <c r="R622" s="26" t="s">
        <v>1013</v>
      </c>
      <c r="S622" s="21">
        <v>52.554070000000003</v>
      </c>
    </row>
    <row r="623" spans="1:19" x14ac:dyDescent="0.25">
      <c r="A623" s="21">
        <v>622</v>
      </c>
      <c r="B623" s="26" t="s">
        <v>53</v>
      </c>
      <c r="C623" s="26" t="s">
        <v>130</v>
      </c>
      <c r="D623" s="26" t="s">
        <v>879</v>
      </c>
      <c r="E623" s="21">
        <v>2613</v>
      </c>
      <c r="F623" s="21">
        <v>1345</v>
      </c>
      <c r="G623" s="21">
        <v>1268</v>
      </c>
      <c r="H623" s="21">
        <v>37.134630000000001</v>
      </c>
      <c r="I623" s="21">
        <v>-4.7296560000000003</v>
      </c>
      <c r="J623" s="21">
        <v>444.60660000000001</v>
      </c>
      <c r="O623" s="21" t="str">
        <f t="shared" si="13"/>
        <v/>
      </c>
      <c r="R623" s="26" t="s">
        <v>713</v>
      </c>
      <c r="S623" s="21">
        <v>8</v>
      </c>
    </row>
    <row r="624" spans="1:19" x14ac:dyDescent="0.25">
      <c r="A624" s="21">
        <v>623</v>
      </c>
      <c r="B624" s="26" t="s">
        <v>53</v>
      </c>
      <c r="C624" s="26" t="s">
        <v>131</v>
      </c>
      <c r="D624" s="26" t="s">
        <v>880</v>
      </c>
      <c r="E624" s="21">
        <v>1670</v>
      </c>
      <c r="F624" s="21">
        <v>884</v>
      </c>
      <c r="G624" s="21">
        <v>786</v>
      </c>
      <c r="H624" s="21">
        <v>36.518300000000004</v>
      </c>
      <c r="I624" s="21">
        <v>-5.3175239999999997</v>
      </c>
      <c r="J624" s="21">
        <v>609.39610000000005</v>
      </c>
      <c r="O624" s="21" t="str">
        <f t="shared" si="13"/>
        <v/>
      </c>
      <c r="R624" s="26" t="s">
        <v>1014</v>
      </c>
      <c r="S624" s="21">
        <v>588.40530000000001</v>
      </c>
    </row>
    <row r="625" spans="1:19" x14ac:dyDescent="0.25">
      <c r="A625" s="21">
        <v>624</v>
      </c>
      <c r="B625" s="26" t="s">
        <v>53</v>
      </c>
      <c r="C625" s="26" t="s">
        <v>132</v>
      </c>
      <c r="D625" s="26" t="s">
        <v>881</v>
      </c>
      <c r="E625" s="21">
        <v>456</v>
      </c>
      <c r="F625" s="21">
        <v>233</v>
      </c>
      <c r="G625" s="21">
        <v>223</v>
      </c>
      <c r="H625" s="21">
        <v>36.544269999999997</v>
      </c>
      <c r="I625" s="21">
        <v>-5.2358789999999997</v>
      </c>
      <c r="J625" s="21">
        <v>508.32510000000002</v>
      </c>
      <c r="O625" s="21" t="str">
        <f t="shared" si="13"/>
        <v/>
      </c>
      <c r="R625" s="26" t="s">
        <v>397</v>
      </c>
      <c r="S625" s="21">
        <v>106.10720000000001</v>
      </c>
    </row>
    <row r="626" spans="1:19" x14ac:dyDescent="0.25">
      <c r="A626" s="21">
        <v>625</v>
      </c>
      <c r="B626" s="26" t="s">
        <v>53</v>
      </c>
      <c r="C626" s="26" t="s">
        <v>133</v>
      </c>
      <c r="D626" s="26" t="s">
        <v>882</v>
      </c>
      <c r="E626" s="21">
        <v>2060</v>
      </c>
      <c r="F626" s="21">
        <v>1044</v>
      </c>
      <c r="G626" s="21">
        <v>1016</v>
      </c>
      <c r="H626" s="21">
        <v>36.65645</v>
      </c>
      <c r="I626" s="21">
        <v>-4.8333550000000001</v>
      </c>
      <c r="J626" s="21">
        <v>347.66019999999997</v>
      </c>
      <c r="O626" s="21" t="str">
        <f t="shared" si="13"/>
        <v/>
      </c>
      <c r="R626" s="26" t="s">
        <v>465</v>
      </c>
      <c r="S626" s="21">
        <v>306.45530000000002</v>
      </c>
    </row>
    <row r="627" spans="1:19" x14ac:dyDescent="0.25">
      <c r="A627" s="21">
        <v>626</v>
      </c>
      <c r="B627" s="26" t="s">
        <v>53</v>
      </c>
      <c r="C627" s="26" t="s">
        <v>135</v>
      </c>
      <c r="D627" s="26" t="s">
        <v>883</v>
      </c>
      <c r="E627" s="21">
        <v>3364</v>
      </c>
      <c r="F627" s="21">
        <v>1697</v>
      </c>
      <c r="G627" s="21">
        <v>1667</v>
      </c>
      <c r="H627" s="21">
        <v>37.114690000000003</v>
      </c>
      <c r="I627" s="21">
        <v>-4.7034570000000002</v>
      </c>
      <c r="J627" s="21">
        <v>447</v>
      </c>
      <c r="O627" s="21" t="str">
        <f t="shared" si="13"/>
        <v/>
      </c>
      <c r="R627" s="26" t="s">
        <v>714</v>
      </c>
      <c r="S627" s="21">
        <v>152.81379999999999</v>
      </c>
    </row>
    <row r="628" spans="1:19" x14ac:dyDescent="0.25">
      <c r="A628" s="21">
        <v>627</v>
      </c>
      <c r="B628" s="26" t="s">
        <v>53</v>
      </c>
      <c r="C628" s="26" t="s">
        <v>134</v>
      </c>
      <c r="D628" s="26" t="s">
        <v>884</v>
      </c>
      <c r="E628" s="21">
        <v>816</v>
      </c>
      <c r="F628" s="21">
        <v>415</v>
      </c>
      <c r="G628" s="21">
        <v>401</v>
      </c>
      <c r="H628" s="21">
        <v>36.630330000000001</v>
      </c>
      <c r="I628" s="21">
        <v>-5.1224610000000004</v>
      </c>
      <c r="J628" s="21">
        <v>692.64729999999997</v>
      </c>
      <c r="O628" s="21" t="str">
        <f t="shared" si="13"/>
        <v/>
      </c>
      <c r="R628" s="26" t="s">
        <v>398</v>
      </c>
      <c r="S628" s="21">
        <v>11.001099999999999</v>
      </c>
    </row>
    <row r="629" spans="1:19" x14ac:dyDescent="0.25">
      <c r="A629" s="21">
        <v>628</v>
      </c>
      <c r="B629" s="26" t="s">
        <v>53</v>
      </c>
      <c r="C629" s="26" t="s">
        <v>136</v>
      </c>
      <c r="D629" s="26" t="s">
        <v>885</v>
      </c>
      <c r="E629" s="21">
        <v>1388</v>
      </c>
      <c r="F629" s="21">
        <v>696</v>
      </c>
      <c r="G629" s="21">
        <v>692</v>
      </c>
      <c r="H629" s="21">
        <v>36.582160000000002</v>
      </c>
      <c r="I629" s="21">
        <v>-4.9494009999999999</v>
      </c>
      <c r="J629" s="21">
        <v>295.78820000000002</v>
      </c>
      <c r="O629" s="21" t="str">
        <f t="shared" si="13"/>
        <v/>
      </c>
      <c r="R629" s="26" t="s">
        <v>715</v>
      </c>
      <c r="S629" s="21">
        <v>15.387029999999999</v>
      </c>
    </row>
    <row r="630" spans="1:19" x14ac:dyDescent="0.25">
      <c r="A630" s="21">
        <v>629</v>
      </c>
      <c r="B630" s="26" t="s">
        <v>53</v>
      </c>
      <c r="C630" s="26" t="s">
        <v>137</v>
      </c>
      <c r="D630" s="26" t="s">
        <v>886</v>
      </c>
      <c r="E630" s="21">
        <v>899</v>
      </c>
      <c r="F630" s="21">
        <v>461</v>
      </c>
      <c r="G630" s="21">
        <v>438</v>
      </c>
      <c r="H630" s="21">
        <v>36.776119999999999</v>
      </c>
      <c r="I630" s="21">
        <v>-4.1835599999999999</v>
      </c>
      <c r="J630" s="21">
        <v>305.81299999999999</v>
      </c>
      <c r="O630" s="21" t="str">
        <f t="shared" si="13"/>
        <v/>
      </c>
      <c r="R630" s="26" t="s">
        <v>1015</v>
      </c>
      <c r="S630" s="21">
        <v>135.89510000000001</v>
      </c>
    </row>
    <row r="631" spans="1:19" x14ac:dyDescent="0.25">
      <c r="A631" s="21">
        <v>630</v>
      </c>
      <c r="B631" s="26" t="s">
        <v>53</v>
      </c>
      <c r="C631" s="26" t="s">
        <v>139</v>
      </c>
      <c r="D631" s="26" t="s">
        <v>887</v>
      </c>
      <c r="E631" s="21">
        <v>415</v>
      </c>
      <c r="F631" s="21">
        <v>216</v>
      </c>
      <c r="G631" s="21">
        <v>199</v>
      </c>
      <c r="H631" s="21">
        <v>36.65202</v>
      </c>
      <c r="I631" s="21">
        <v>-5.2734550000000002</v>
      </c>
      <c r="J631" s="21">
        <v>548.84190000000001</v>
      </c>
      <c r="O631" s="21" t="str">
        <f t="shared" si="13"/>
        <v/>
      </c>
      <c r="R631" s="26" t="s">
        <v>716</v>
      </c>
      <c r="S631" s="21">
        <v>637.69479999999999</v>
      </c>
    </row>
    <row r="632" spans="1:19" x14ac:dyDescent="0.25">
      <c r="A632" s="21">
        <v>631</v>
      </c>
      <c r="B632" s="26" t="s">
        <v>53</v>
      </c>
      <c r="C632" s="26" t="s">
        <v>140</v>
      </c>
      <c r="D632" s="26" t="s">
        <v>888</v>
      </c>
      <c r="E632" s="21">
        <v>638</v>
      </c>
      <c r="F632" s="21">
        <v>319</v>
      </c>
      <c r="G632" s="21">
        <v>319</v>
      </c>
      <c r="H632" s="21">
        <v>36.564320000000002</v>
      </c>
      <c r="I632" s="21">
        <v>-5.2152469999999997</v>
      </c>
      <c r="J632" s="21">
        <v>556.01030000000003</v>
      </c>
      <c r="O632" s="21" t="str">
        <f t="shared" si="13"/>
        <v/>
      </c>
      <c r="R632" s="26" t="s">
        <v>717</v>
      </c>
      <c r="S632" s="21">
        <v>310.5924</v>
      </c>
    </row>
    <row r="633" spans="1:19" x14ac:dyDescent="0.25">
      <c r="A633" s="21">
        <v>632</v>
      </c>
      <c r="B633" s="26" t="s">
        <v>53</v>
      </c>
      <c r="C633" s="26" t="s">
        <v>141</v>
      </c>
      <c r="D633" s="26" t="s">
        <v>889</v>
      </c>
      <c r="E633" s="21">
        <v>238</v>
      </c>
      <c r="F633" s="21">
        <v>138</v>
      </c>
      <c r="G633" s="21">
        <v>100</v>
      </c>
      <c r="H633" s="21">
        <v>36.625059999999998</v>
      </c>
      <c r="I633" s="21">
        <v>-5.1708150000000002</v>
      </c>
      <c r="J633" s="21">
        <v>622.42060000000004</v>
      </c>
      <c r="O633" s="21" t="str">
        <f t="shared" si="13"/>
        <v/>
      </c>
      <c r="R633" s="26" t="s">
        <v>283</v>
      </c>
      <c r="S633" s="21">
        <v>328.97390000000001</v>
      </c>
    </row>
    <row r="634" spans="1:19" x14ac:dyDescent="0.25">
      <c r="A634" s="21">
        <v>633</v>
      </c>
      <c r="B634" s="26" t="s">
        <v>53</v>
      </c>
      <c r="C634" s="26" t="s">
        <v>142</v>
      </c>
      <c r="D634" s="26" t="s">
        <v>890</v>
      </c>
      <c r="E634" s="21">
        <v>477</v>
      </c>
      <c r="F634" s="21">
        <v>257</v>
      </c>
      <c r="G634" s="21">
        <v>220</v>
      </c>
      <c r="H634" s="21">
        <v>36.762390000000003</v>
      </c>
      <c r="I634" s="21">
        <v>-4.2139790000000001</v>
      </c>
      <c r="J634" s="21">
        <v>232.85300000000001</v>
      </c>
      <c r="O634" s="21" t="str">
        <f t="shared" si="13"/>
        <v/>
      </c>
      <c r="R634" s="26" t="s">
        <v>625</v>
      </c>
      <c r="S634" s="21">
        <v>737.32039999999995</v>
      </c>
    </row>
    <row r="635" spans="1:19" x14ac:dyDescent="0.25">
      <c r="A635" s="21">
        <v>634</v>
      </c>
      <c r="B635" s="26" t="s">
        <v>53</v>
      </c>
      <c r="C635" s="26" t="s">
        <v>143</v>
      </c>
      <c r="D635" s="26" t="s">
        <v>53</v>
      </c>
      <c r="E635" s="21">
        <v>569130</v>
      </c>
      <c r="F635" s="21">
        <v>273817</v>
      </c>
      <c r="G635" s="21">
        <v>295313</v>
      </c>
      <c r="H635" s="21">
        <v>36.719650000000001</v>
      </c>
      <c r="I635" s="21">
        <v>-4.4200189999999999</v>
      </c>
      <c r="J635" s="21">
        <v>20.765879999999999</v>
      </c>
      <c r="O635" s="21" t="str">
        <f t="shared" si="13"/>
        <v/>
      </c>
      <c r="R635" s="26" t="s">
        <v>801</v>
      </c>
      <c r="S635" s="21">
        <v>744.13490000000002</v>
      </c>
    </row>
    <row r="636" spans="1:19" x14ac:dyDescent="0.25">
      <c r="A636" s="21">
        <v>635</v>
      </c>
      <c r="B636" s="26" t="s">
        <v>53</v>
      </c>
      <c r="C636" s="26" t="s">
        <v>144</v>
      </c>
      <c r="D636" s="26" t="s">
        <v>891</v>
      </c>
      <c r="E636" s="21">
        <v>14587</v>
      </c>
      <c r="F636" s="21">
        <v>7524</v>
      </c>
      <c r="G636" s="21">
        <v>7063</v>
      </c>
      <c r="H636" s="21">
        <v>36.37706</v>
      </c>
      <c r="I636" s="21">
        <v>-5.2492710000000002</v>
      </c>
      <c r="J636" s="21">
        <v>135.0445</v>
      </c>
      <c r="O636" s="21" t="str">
        <f t="shared" si="13"/>
        <v/>
      </c>
      <c r="R636" s="26" t="s">
        <v>466</v>
      </c>
      <c r="S636" s="21">
        <v>547.03129999999999</v>
      </c>
    </row>
    <row r="637" spans="1:19" x14ac:dyDescent="0.25">
      <c r="A637" s="21">
        <v>636</v>
      </c>
      <c r="B637" s="26" t="s">
        <v>53</v>
      </c>
      <c r="C637" s="26" t="s">
        <v>145</v>
      </c>
      <c r="D637" s="26" t="s">
        <v>892</v>
      </c>
      <c r="E637" s="21">
        <v>139537</v>
      </c>
      <c r="F637" s="21">
        <v>67535</v>
      </c>
      <c r="G637" s="21">
        <v>72002</v>
      </c>
      <c r="H637" s="21">
        <v>36.50994</v>
      </c>
      <c r="I637" s="21">
        <v>-4.8863519999999996</v>
      </c>
      <c r="J637" s="21">
        <v>23.815809999999999</v>
      </c>
      <c r="O637" s="21" t="str">
        <f t="shared" si="13"/>
        <v/>
      </c>
      <c r="R637" s="26" t="s">
        <v>626</v>
      </c>
      <c r="S637" s="21">
        <v>582.65449999999998</v>
      </c>
    </row>
    <row r="638" spans="1:19" x14ac:dyDescent="0.25">
      <c r="A638" s="21">
        <v>637</v>
      </c>
      <c r="B638" s="26" t="s">
        <v>53</v>
      </c>
      <c r="C638" s="26" t="s">
        <v>146</v>
      </c>
      <c r="D638" s="26" t="s">
        <v>893</v>
      </c>
      <c r="E638" s="21">
        <v>79483</v>
      </c>
      <c r="F638" s="21">
        <v>39913</v>
      </c>
      <c r="G638" s="21">
        <v>39570</v>
      </c>
      <c r="H638" s="21">
        <v>36.595700000000001</v>
      </c>
      <c r="I638" s="21">
        <v>-4.6376189999999999</v>
      </c>
      <c r="J638" s="21">
        <v>421.16430000000003</v>
      </c>
      <c r="O638" s="21" t="str">
        <f t="shared" si="13"/>
        <v/>
      </c>
      <c r="R638" s="26" t="s">
        <v>284</v>
      </c>
      <c r="S638" s="21">
        <v>210.5975</v>
      </c>
    </row>
    <row r="639" spans="1:19" x14ac:dyDescent="0.25">
      <c r="A639" s="21">
        <v>638</v>
      </c>
      <c r="B639" s="26" t="s">
        <v>53</v>
      </c>
      <c r="C639" s="26" t="s">
        <v>147</v>
      </c>
      <c r="D639" s="26" t="s">
        <v>894</v>
      </c>
      <c r="E639" s="21">
        <v>1255</v>
      </c>
      <c r="F639" s="21">
        <v>653</v>
      </c>
      <c r="G639" s="21">
        <v>602</v>
      </c>
      <c r="H639" s="21">
        <v>36.7712</v>
      </c>
      <c r="I639" s="21">
        <v>-4.2540009999999997</v>
      </c>
      <c r="J639" s="21">
        <v>443.12130000000002</v>
      </c>
      <c r="O639" s="21" t="str">
        <f t="shared" si="13"/>
        <v/>
      </c>
      <c r="R639" s="26" t="s">
        <v>718</v>
      </c>
      <c r="S639" s="21">
        <v>518.62260000000003</v>
      </c>
    </row>
    <row r="640" spans="1:19" x14ac:dyDescent="0.25">
      <c r="A640" s="21">
        <v>639</v>
      </c>
      <c r="B640" s="26" t="s">
        <v>53</v>
      </c>
      <c r="C640" s="26" t="s">
        <v>148</v>
      </c>
      <c r="D640" s="26" t="s">
        <v>895</v>
      </c>
      <c r="E640" s="21">
        <v>4901</v>
      </c>
      <c r="F640" s="21">
        <v>2461</v>
      </c>
      <c r="G640" s="21">
        <v>2440</v>
      </c>
      <c r="H640" s="21">
        <v>37.125639999999997</v>
      </c>
      <c r="I640" s="21">
        <v>-4.6571059999999997</v>
      </c>
      <c r="J640" s="21">
        <v>476.19119999999998</v>
      </c>
      <c r="O640" s="21" t="str">
        <f t="shared" si="13"/>
        <v/>
      </c>
      <c r="R640" s="26" t="s">
        <v>467</v>
      </c>
      <c r="S640" s="21">
        <v>238.2158</v>
      </c>
    </row>
    <row r="641" spans="1:19" x14ac:dyDescent="0.25">
      <c r="A641" s="21">
        <v>640</v>
      </c>
      <c r="B641" s="26" t="s">
        <v>53</v>
      </c>
      <c r="C641" s="26" t="s">
        <v>149</v>
      </c>
      <c r="D641" s="26" t="s">
        <v>896</v>
      </c>
      <c r="E641" s="21">
        <v>2382</v>
      </c>
      <c r="F641" s="21">
        <v>1208</v>
      </c>
      <c r="G641" s="21">
        <v>1174</v>
      </c>
      <c r="H641" s="21">
        <v>36.630180000000003</v>
      </c>
      <c r="I641" s="21">
        <v>-4.831124</v>
      </c>
      <c r="J641" s="21">
        <v>359.94819999999999</v>
      </c>
      <c r="O641" s="21" t="str">
        <f t="shared" si="13"/>
        <v/>
      </c>
      <c r="R641" s="26" t="s">
        <v>802</v>
      </c>
      <c r="S641" s="21">
        <v>391.07639999999998</v>
      </c>
    </row>
    <row r="642" spans="1:19" x14ac:dyDescent="0.25">
      <c r="A642" s="21">
        <v>641</v>
      </c>
      <c r="B642" s="26" t="s">
        <v>53</v>
      </c>
      <c r="C642" s="26" t="s">
        <v>150</v>
      </c>
      <c r="D642" s="26" t="s">
        <v>897</v>
      </c>
      <c r="E642" s="21">
        <v>984</v>
      </c>
      <c r="F642" s="21">
        <v>485</v>
      </c>
      <c r="G642" s="21">
        <v>499</v>
      </c>
      <c r="H642" s="21">
        <v>36.733649999999997</v>
      </c>
      <c r="I642" s="21">
        <v>-5.2513820000000004</v>
      </c>
      <c r="J642" s="21">
        <v>696.32429999999999</v>
      </c>
      <c r="O642" s="21" t="str">
        <f t="shared" si="13"/>
        <v/>
      </c>
      <c r="R642" s="26" t="s">
        <v>803</v>
      </c>
      <c r="S642" s="21">
        <v>1229.5719999999999</v>
      </c>
    </row>
    <row r="643" spans="1:19" x14ac:dyDescent="0.25">
      <c r="A643" s="21">
        <v>642</v>
      </c>
      <c r="B643" s="26" t="s">
        <v>53</v>
      </c>
      <c r="C643" s="26" t="s">
        <v>151</v>
      </c>
      <c r="D643" s="26" t="s">
        <v>898</v>
      </c>
      <c r="E643" s="21">
        <v>21185</v>
      </c>
      <c r="F643" s="21">
        <v>10446</v>
      </c>
      <c r="G643" s="21">
        <v>10739</v>
      </c>
      <c r="H643" s="21">
        <v>36.74503</v>
      </c>
      <c r="I643" s="21">
        <v>-3.876649</v>
      </c>
      <c r="J643" s="21">
        <v>25.004390000000001</v>
      </c>
      <c r="O643" s="21" t="str">
        <f t="shared" si="13"/>
        <v/>
      </c>
      <c r="R643" s="26" t="s">
        <v>1016</v>
      </c>
      <c r="S643" s="21">
        <v>16.952120000000001</v>
      </c>
    </row>
    <row r="644" spans="1:19" x14ac:dyDescent="0.25">
      <c r="A644" s="21">
        <v>643</v>
      </c>
      <c r="B644" s="26" t="s">
        <v>53</v>
      </c>
      <c r="C644" s="26" t="s">
        <v>152</v>
      </c>
      <c r="D644" s="26" t="s">
        <v>899</v>
      </c>
      <c r="E644" s="21">
        <v>3353</v>
      </c>
      <c r="F644" s="21">
        <v>1712</v>
      </c>
      <c r="G644" s="21">
        <v>1641</v>
      </c>
      <c r="H644" s="21">
        <v>36.564239999999998</v>
      </c>
      <c r="I644" s="21">
        <v>-4.8564920000000003</v>
      </c>
      <c r="J644" s="21">
        <v>314.17430000000002</v>
      </c>
      <c r="O644" s="21" t="str">
        <f t="shared" si="13"/>
        <v/>
      </c>
      <c r="R644" s="26" t="s">
        <v>804</v>
      </c>
      <c r="S644" s="21">
        <v>706.26570000000004</v>
      </c>
    </row>
    <row r="645" spans="1:19" x14ac:dyDescent="0.25">
      <c r="A645" s="21">
        <v>644</v>
      </c>
      <c r="B645" s="26" t="s">
        <v>53</v>
      </c>
      <c r="C645" s="26" t="s">
        <v>153</v>
      </c>
      <c r="D645" s="26" t="s">
        <v>900</v>
      </c>
      <c r="E645" s="21">
        <v>249</v>
      </c>
      <c r="F645" s="21">
        <v>116</v>
      </c>
      <c r="G645" s="21">
        <v>133</v>
      </c>
      <c r="H645" s="21">
        <v>36.655329999999999</v>
      </c>
      <c r="I645" s="21">
        <v>-5.1296270000000002</v>
      </c>
      <c r="J645" s="21">
        <v>819.96310000000005</v>
      </c>
      <c r="O645" s="21" t="str">
        <f t="shared" si="13"/>
        <v/>
      </c>
      <c r="R645" s="26" t="s">
        <v>805</v>
      </c>
      <c r="S645" s="21">
        <v>450.98059999999998</v>
      </c>
    </row>
    <row r="646" spans="1:19" x14ac:dyDescent="0.25">
      <c r="A646" s="21">
        <v>645</v>
      </c>
      <c r="B646" s="26" t="s">
        <v>53</v>
      </c>
      <c r="C646" s="26" t="s">
        <v>155</v>
      </c>
      <c r="D646" s="26" t="s">
        <v>901</v>
      </c>
      <c r="E646" s="21">
        <v>3231</v>
      </c>
      <c r="F646" s="21">
        <v>1690</v>
      </c>
      <c r="G646" s="21">
        <v>1541</v>
      </c>
      <c r="H646" s="21">
        <v>36.926940000000002</v>
      </c>
      <c r="I646" s="21">
        <v>-4.1873040000000001</v>
      </c>
      <c r="J646" s="21">
        <v>570.68610000000001</v>
      </c>
      <c r="O646" s="21" t="str">
        <f t="shared" si="13"/>
        <v/>
      </c>
      <c r="R646" s="26" t="s">
        <v>1017</v>
      </c>
      <c r="S646" s="21">
        <v>533.44669999999996</v>
      </c>
    </row>
    <row r="647" spans="1:19" x14ac:dyDescent="0.25">
      <c r="A647" s="21">
        <v>646</v>
      </c>
      <c r="B647" s="26" t="s">
        <v>53</v>
      </c>
      <c r="C647" s="26" t="s">
        <v>156</v>
      </c>
      <c r="D647" s="26" t="s">
        <v>902</v>
      </c>
      <c r="E647" s="21">
        <v>9148</v>
      </c>
      <c r="F647" s="21">
        <v>4626</v>
      </c>
      <c r="G647" s="21">
        <v>4522</v>
      </c>
      <c r="H647" s="21">
        <v>36.76717</v>
      </c>
      <c r="I647" s="21">
        <v>-4.7074559999999996</v>
      </c>
      <c r="J647" s="21">
        <v>88.955489999999998</v>
      </c>
      <c r="O647" s="21" t="str">
        <f t="shared" si="13"/>
        <v/>
      </c>
      <c r="R647" s="26" t="s">
        <v>908</v>
      </c>
      <c r="S647" s="21">
        <v>364.62310000000002</v>
      </c>
    </row>
    <row r="648" spans="1:19" x14ac:dyDescent="0.25">
      <c r="A648" s="21">
        <v>647</v>
      </c>
      <c r="B648" s="26" t="s">
        <v>53</v>
      </c>
      <c r="C648" s="26" t="s">
        <v>157</v>
      </c>
      <c r="D648" s="26" t="s">
        <v>903</v>
      </c>
      <c r="E648" s="21">
        <v>294</v>
      </c>
      <c r="F648" s="21">
        <v>155</v>
      </c>
      <c r="G648" s="21">
        <v>139</v>
      </c>
      <c r="H648" s="21">
        <v>36.612699999999997</v>
      </c>
      <c r="I648" s="21">
        <v>-5.1494210000000002</v>
      </c>
      <c r="J648" s="21">
        <v>781.42510000000004</v>
      </c>
      <c r="O648" s="21" t="str">
        <f t="shared" si="13"/>
        <v/>
      </c>
      <c r="R648" s="26" t="s">
        <v>909</v>
      </c>
      <c r="S648" s="21">
        <v>697.33749999999998</v>
      </c>
    </row>
    <row r="649" spans="1:19" x14ac:dyDescent="0.25">
      <c r="A649" s="21">
        <v>648</v>
      </c>
      <c r="B649" s="26" t="s">
        <v>53</v>
      </c>
      <c r="C649" s="26" t="s">
        <v>158</v>
      </c>
      <c r="D649" s="26" t="s">
        <v>904</v>
      </c>
      <c r="E649" s="21">
        <v>43135</v>
      </c>
      <c r="F649" s="21">
        <v>21192</v>
      </c>
      <c r="G649" s="21">
        <v>21943</v>
      </c>
      <c r="H649" s="21">
        <v>36.71566</v>
      </c>
      <c r="I649" s="21">
        <v>-4.2755039999999997</v>
      </c>
      <c r="J649" s="21">
        <v>3.764837</v>
      </c>
      <c r="O649" s="21" t="str">
        <f t="shared" si="13"/>
        <v/>
      </c>
      <c r="R649" s="26" t="s">
        <v>806</v>
      </c>
      <c r="S649" s="21">
        <v>1110.403</v>
      </c>
    </row>
    <row r="650" spans="1:19" x14ac:dyDescent="0.25">
      <c r="A650" s="21">
        <v>649</v>
      </c>
      <c r="B650" s="26" t="s">
        <v>53</v>
      </c>
      <c r="C650" s="26" t="s">
        <v>159</v>
      </c>
      <c r="D650" s="26" t="s">
        <v>905</v>
      </c>
      <c r="E650" s="21">
        <v>2936</v>
      </c>
      <c r="F650" s="21">
        <v>1539</v>
      </c>
      <c r="G650" s="21">
        <v>1397</v>
      </c>
      <c r="H650" s="21">
        <v>36.914909999999999</v>
      </c>
      <c r="I650" s="21">
        <v>-4.293622</v>
      </c>
      <c r="J650" s="21">
        <v>390.23259999999999</v>
      </c>
      <c r="O650" s="21" t="str">
        <f t="shared" si="13"/>
        <v/>
      </c>
      <c r="R650" s="26" t="s">
        <v>285</v>
      </c>
      <c r="S650" s="21">
        <v>1007.3869999999999</v>
      </c>
    </row>
    <row r="651" spans="1:19" x14ac:dyDescent="0.25">
      <c r="A651" s="21">
        <v>650</v>
      </c>
      <c r="B651" s="26" t="s">
        <v>53</v>
      </c>
      <c r="C651" s="26" t="s">
        <v>160</v>
      </c>
      <c r="D651" s="26" t="s">
        <v>906</v>
      </c>
      <c r="E651" s="21">
        <v>35676</v>
      </c>
      <c r="F651" s="21">
        <v>17421</v>
      </c>
      <c r="G651" s="21">
        <v>18255</v>
      </c>
      <c r="H651" s="21">
        <v>36.741959999999999</v>
      </c>
      <c r="I651" s="21">
        <v>-5.1664120000000002</v>
      </c>
      <c r="J651" s="21">
        <v>721.03179999999998</v>
      </c>
      <c r="O651" s="21" t="str">
        <f t="shared" si="13"/>
        <v/>
      </c>
      <c r="R651" s="26" t="s">
        <v>286</v>
      </c>
      <c r="S651" s="21">
        <v>800.13699999999994</v>
      </c>
    </row>
    <row r="652" spans="1:19" x14ac:dyDescent="0.25">
      <c r="A652" s="21">
        <v>651</v>
      </c>
      <c r="B652" s="26" t="s">
        <v>53</v>
      </c>
      <c r="C652" s="26" t="s">
        <v>161</v>
      </c>
      <c r="D652" s="26" t="s">
        <v>907</v>
      </c>
      <c r="E652" s="21">
        <v>207</v>
      </c>
      <c r="F652" s="21">
        <v>105</v>
      </c>
      <c r="G652" s="21">
        <v>102</v>
      </c>
      <c r="H652" s="21">
        <v>36.854959999999998</v>
      </c>
      <c r="I652" s="21">
        <v>-4.0243929999999999</v>
      </c>
      <c r="J652" s="21">
        <v>585.0521</v>
      </c>
      <c r="O652" s="21" t="str">
        <f t="shared" si="13"/>
        <v/>
      </c>
      <c r="R652" s="26" t="s">
        <v>399</v>
      </c>
      <c r="S652" s="21">
        <v>555.04650000000004</v>
      </c>
    </row>
    <row r="653" spans="1:19" x14ac:dyDescent="0.25">
      <c r="A653" s="21">
        <v>652</v>
      </c>
      <c r="B653" s="26" t="s">
        <v>53</v>
      </c>
      <c r="C653" s="26" t="s">
        <v>162</v>
      </c>
      <c r="D653" s="26" t="s">
        <v>908</v>
      </c>
      <c r="E653" s="21">
        <v>1505</v>
      </c>
      <c r="F653" s="21">
        <v>770</v>
      </c>
      <c r="G653" s="21">
        <v>735</v>
      </c>
      <c r="H653" s="21">
        <v>36.797989999999999</v>
      </c>
      <c r="I653" s="21">
        <v>-4.0118989999999997</v>
      </c>
      <c r="J653" s="21">
        <v>364.62310000000002</v>
      </c>
      <c r="O653" s="21" t="str">
        <f t="shared" si="13"/>
        <v/>
      </c>
      <c r="R653" s="26" t="s">
        <v>55</v>
      </c>
      <c r="S653" s="21">
        <v>8.2655729999999998</v>
      </c>
    </row>
    <row r="654" spans="1:19" x14ac:dyDescent="0.25">
      <c r="A654" s="21">
        <v>653</v>
      </c>
      <c r="B654" s="26" t="s">
        <v>53</v>
      </c>
      <c r="C654" s="26" t="s">
        <v>290</v>
      </c>
      <c r="D654" s="26" t="s">
        <v>909</v>
      </c>
      <c r="E654" s="21">
        <v>692</v>
      </c>
      <c r="F654" s="21">
        <v>389</v>
      </c>
      <c r="G654" s="21">
        <v>303</v>
      </c>
      <c r="H654" s="21">
        <v>36.86289</v>
      </c>
      <c r="I654" s="21">
        <v>-4.0330700000000004</v>
      </c>
      <c r="J654" s="21">
        <v>697.33749999999998</v>
      </c>
      <c r="O654" s="21" t="str">
        <f t="shared" si="13"/>
        <v/>
      </c>
      <c r="R654" s="26" t="s">
        <v>910</v>
      </c>
      <c r="S654" s="21">
        <v>451.50959999999998</v>
      </c>
    </row>
    <row r="655" spans="1:19" x14ac:dyDescent="0.25">
      <c r="A655" s="21">
        <v>654</v>
      </c>
      <c r="B655" s="26" t="s">
        <v>53</v>
      </c>
      <c r="C655" s="26" t="s">
        <v>163</v>
      </c>
      <c r="D655" s="26" t="s">
        <v>910</v>
      </c>
      <c r="E655" s="21">
        <v>3398</v>
      </c>
      <c r="F655" s="21">
        <v>1713</v>
      </c>
      <c r="G655" s="21">
        <v>1685</v>
      </c>
      <c r="H655" s="21">
        <v>37.124609999999997</v>
      </c>
      <c r="I655" s="21">
        <v>-4.8687389999999997</v>
      </c>
      <c r="J655" s="21">
        <v>451.50959999999998</v>
      </c>
      <c r="O655" s="21" t="str">
        <f t="shared" si="13"/>
        <v/>
      </c>
      <c r="R655" s="26" t="s">
        <v>287</v>
      </c>
      <c r="S655" s="21">
        <v>721.0729</v>
      </c>
    </row>
    <row r="656" spans="1:19" x14ac:dyDescent="0.25">
      <c r="A656" s="21">
        <v>655</v>
      </c>
      <c r="B656" s="26" t="s">
        <v>53</v>
      </c>
      <c r="C656" s="26" t="s">
        <v>164</v>
      </c>
      <c r="D656" s="26" t="s">
        <v>911</v>
      </c>
      <c r="E656" s="21">
        <v>3973</v>
      </c>
      <c r="F656" s="21">
        <v>2002</v>
      </c>
      <c r="G656" s="21">
        <v>1971</v>
      </c>
      <c r="H656" s="21">
        <v>36.98348</v>
      </c>
      <c r="I656" s="21">
        <v>-4.920274</v>
      </c>
      <c r="J656" s="21">
        <v>541.60720000000003</v>
      </c>
      <c r="O656" s="21" t="str">
        <f t="shared" si="13"/>
        <v/>
      </c>
      <c r="R656" s="26" t="s">
        <v>807</v>
      </c>
      <c r="S656" s="21">
        <v>831.98419999999999</v>
      </c>
    </row>
    <row r="657" spans="1:19" x14ac:dyDescent="0.25">
      <c r="A657" s="21">
        <v>656</v>
      </c>
      <c r="B657" s="26" t="s">
        <v>53</v>
      </c>
      <c r="C657" s="26" t="s">
        <v>168</v>
      </c>
      <c r="D657" s="26" t="s">
        <v>912</v>
      </c>
      <c r="E657" s="21">
        <v>2186</v>
      </c>
      <c r="F657" s="21">
        <v>1108</v>
      </c>
      <c r="G657" s="21">
        <v>1078</v>
      </c>
      <c r="H657" s="21">
        <v>36.68674</v>
      </c>
      <c r="I657" s="21">
        <v>-4.9046760000000003</v>
      </c>
      <c r="J657" s="21">
        <v>305.95310000000001</v>
      </c>
      <c r="O657" s="21" t="str">
        <f t="shared" si="13"/>
        <v/>
      </c>
      <c r="R657" s="26" t="s">
        <v>288</v>
      </c>
      <c r="S657" s="21">
        <v>816.81050000000005</v>
      </c>
    </row>
    <row r="658" spans="1:19" x14ac:dyDescent="0.25">
      <c r="A658" s="21">
        <v>657</v>
      </c>
      <c r="B658" s="26" t="s">
        <v>53</v>
      </c>
      <c r="C658" s="26" t="s">
        <v>138</v>
      </c>
      <c r="D658" s="26" t="s">
        <v>913</v>
      </c>
      <c r="E658" s="21">
        <v>67492</v>
      </c>
      <c r="F658" s="21">
        <v>33717</v>
      </c>
      <c r="G658" s="21">
        <v>33775</v>
      </c>
      <c r="H658" s="21">
        <v>36.621789999999997</v>
      </c>
      <c r="I658" s="21">
        <v>-4.500273</v>
      </c>
      <c r="J658" s="21">
        <v>52.33766</v>
      </c>
      <c r="O658" s="21" t="str">
        <f t="shared" si="13"/>
        <v/>
      </c>
      <c r="R658" s="26" t="s">
        <v>627</v>
      </c>
      <c r="S658" s="21">
        <v>944.02070000000003</v>
      </c>
    </row>
    <row r="659" spans="1:19" x14ac:dyDescent="0.25">
      <c r="A659" s="21">
        <v>658</v>
      </c>
      <c r="B659" s="26" t="s">
        <v>53</v>
      </c>
      <c r="C659" s="26" t="s">
        <v>166</v>
      </c>
      <c r="D659" s="26" t="s">
        <v>914</v>
      </c>
      <c r="E659" s="21">
        <v>15117</v>
      </c>
      <c r="F659" s="21">
        <v>7684</v>
      </c>
      <c r="G659" s="21">
        <v>7433</v>
      </c>
      <c r="H659" s="21">
        <v>36.758450000000003</v>
      </c>
      <c r="I659" s="21">
        <v>-3.952617</v>
      </c>
      <c r="J659" s="21">
        <v>146.87729999999999</v>
      </c>
      <c r="O659" s="21" t="str">
        <f t="shared" si="13"/>
        <v/>
      </c>
      <c r="R659" s="26" t="s">
        <v>289</v>
      </c>
      <c r="S659" s="21">
        <v>391.5779</v>
      </c>
    </row>
    <row r="660" spans="1:19" x14ac:dyDescent="0.25">
      <c r="A660" s="21">
        <v>659</v>
      </c>
      <c r="B660" s="26" t="s">
        <v>53</v>
      </c>
      <c r="C660" s="26" t="s">
        <v>167</v>
      </c>
      <c r="D660" s="26" t="s">
        <v>915</v>
      </c>
      <c r="E660" s="21">
        <v>710</v>
      </c>
      <c r="F660" s="21">
        <v>373</v>
      </c>
      <c r="G660" s="21">
        <v>337</v>
      </c>
      <c r="H660" s="21">
        <v>36.76529</v>
      </c>
      <c r="I660" s="21">
        <v>-4.2970439999999996</v>
      </c>
      <c r="J660" s="21">
        <v>285.32249999999999</v>
      </c>
      <c r="O660" s="21" t="str">
        <f t="shared" si="13"/>
        <v/>
      </c>
      <c r="R660" s="26" t="s">
        <v>808</v>
      </c>
      <c r="S660" s="21">
        <v>630.34780000000001</v>
      </c>
    </row>
    <row r="661" spans="1:19" x14ac:dyDescent="0.25">
      <c r="A661" s="21">
        <v>660</v>
      </c>
      <c r="B661" s="26" t="s">
        <v>53</v>
      </c>
      <c r="C661" s="26" t="s">
        <v>169</v>
      </c>
      <c r="D661" s="26" t="s">
        <v>916</v>
      </c>
      <c r="E661" s="21">
        <v>2615</v>
      </c>
      <c r="F661" s="21">
        <v>1323</v>
      </c>
      <c r="G661" s="21">
        <v>1292</v>
      </c>
      <c r="H661" s="21">
        <v>36.931330000000003</v>
      </c>
      <c r="I661" s="21">
        <v>-4.682709</v>
      </c>
      <c r="J661" s="21">
        <v>345.64920000000001</v>
      </c>
      <c r="O661" s="21" t="str">
        <f t="shared" si="13"/>
        <v/>
      </c>
      <c r="R661" s="26" t="s">
        <v>628</v>
      </c>
      <c r="S661" s="21">
        <v>769.99879999999996</v>
      </c>
    </row>
    <row r="662" spans="1:19" x14ac:dyDescent="0.25">
      <c r="A662" s="21">
        <v>661</v>
      </c>
      <c r="B662" s="26" t="s">
        <v>53</v>
      </c>
      <c r="C662" s="26" t="s">
        <v>170</v>
      </c>
      <c r="D662" s="26" t="s">
        <v>917</v>
      </c>
      <c r="E662" s="21">
        <v>78166</v>
      </c>
      <c r="F662" s="21">
        <v>38769</v>
      </c>
      <c r="G662" s="21">
        <v>39397</v>
      </c>
      <c r="H662" s="21">
        <v>36.778640000000003</v>
      </c>
      <c r="I662" s="21">
        <v>-4.1006749999999998</v>
      </c>
      <c r="J662" s="21">
        <v>55.927480000000003</v>
      </c>
      <c r="O662" s="21" t="str">
        <f t="shared" si="13"/>
        <v/>
      </c>
      <c r="R662" s="26" t="s">
        <v>291</v>
      </c>
      <c r="S662" s="21">
        <v>636.84990000000005</v>
      </c>
    </row>
    <row r="663" spans="1:19" x14ac:dyDescent="0.25">
      <c r="A663" s="21">
        <v>662</v>
      </c>
      <c r="B663" s="26" t="s">
        <v>53</v>
      </c>
      <c r="C663" s="26" t="s">
        <v>171</v>
      </c>
      <c r="D663" s="26" t="s">
        <v>918</v>
      </c>
      <c r="E663" s="21">
        <v>4337</v>
      </c>
      <c r="F663" s="21">
        <v>2219</v>
      </c>
      <c r="G663" s="21">
        <v>2118</v>
      </c>
      <c r="H663" s="21">
        <v>37.186279999999996</v>
      </c>
      <c r="I663" s="21">
        <v>-4.4508369999999999</v>
      </c>
      <c r="J663" s="21">
        <v>542.54740000000004</v>
      </c>
      <c r="O663" s="21" t="str">
        <f t="shared" si="13"/>
        <v/>
      </c>
      <c r="R663" s="26" t="s">
        <v>292</v>
      </c>
      <c r="S663" s="21">
        <v>405.96409999999997</v>
      </c>
    </row>
    <row r="664" spans="1:19" x14ac:dyDescent="0.25">
      <c r="A664" s="21">
        <v>663</v>
      </c>
      <c r="B664" s="26" t="s">
        <v>53</v>
      </c>
      <c r="C664" s="26" t="s">
        <v>180</v>
      </c>
      <c r="D664" s="26" t="s">
        <v>919</v>
      </c>
      <c r="E664" s="21">
        <v>3341</v>
      </c>
      <c r="F664" s="21">
        <v>1631</v>
      </c>
      <c r="G664" s="21">
        <v>1710</v>
      </c>
      <c r="H664" s="21" t="e">
        <v>#N/A</v>
      </c>
      <c r="I664" s="21" t="e">
        <v>#N/A</v>
      </c>
      <c r="J664" s="21" t="e">
        <v>#N/A</v>
      </c>
      <c r="O664" s="21" t="str">
        <f t="shared" si="13"/>
        <v/>
      </c>
      <c r="R664" s="26" t="s">
        <v>293</v>
      </c>
      <c r="S664" s="21">
        <v>702.80219999999997</v>
      </c>
    </row>
    <row r="665" spans="1:19" x14ac:dyDescent="0.25">
      <c r="A665" s="21">
        <v>664</v>
      </c>
      <c r="B665" s="26" t="s">
        <v>53</v>
      </c>
      <c r="C665" s="26" t="s">
        <v>175</v>
      </c>
      <c r="D665" s="26" t="s">
        <v>920</v>
      </c>
      <c r="E665" s="21">
        <v>1544</v>
      </c>
      <c r="F665" s="21">
        <v>779</v>
      </c>
      <c r="G665" s="21">
        <v>765</v>
      </c>
      <c r="H665" s="21">
        <v>37.180349999999997</v>
      </c>
      <c r="I665" s="21">
        <v>-4.3359779999999999</v>
      </c>
      <c r="J665" s="21">
        <v>659.88099999999997</v>
      </c>
      <c r="O665" s="21" t="str">
        <f t="shared" si="13"/>
        <v/>
      </c>
      <c r="R665" s="26" t="s">
        <v>629</v>
      </c>
      <c r="S665" s="21">
        <v>1100.905</v>
      </c>
    </row>
    <row r="666" spans="1:19" x14ac:dyDescent="0.25">
      <c r="A666" s="21">
        <v>665</v>
      </c>
      <c r="B666" s="26" t="s">
        <v>53</v>
      </c>
      <c r="C666" s="26" t="s">
        <v>172</v>
      </c>
      <c r="D666" s="26" t="s">
        <v>921</v>
      </c>
      <c r="E666" s="21">
        <v>3508</v>
      </c>
      <c r="F666" s="21">
        <v>1715</v>
      </c>
      <c r="G666" s="21">
        <v>1793</v>
      </c>
      <c r="H666" s="21">
        <v>36.996220000000001</v>
      </c>
      <c r="I666" s="21">
        <v>-4.3643090000000004</v>
      </c>
      <c r="J666" s="21">
        <v>694.95119999999997</v>
      </c>
      <c r="O666" s="21" t="str">
        <f t="shared" si="13"/>
        <v/>
      </c>
      <c r="R666" s="26" t="s">
        <v>294</v>
      </c>
      <c r="S666" s="21">
        <v>1008.582</v>
      </c>
    </row>
    <row r="667" spans="1:19" x14ac:dyDescent="0.25">
      <c r="A667" s="21">
        <v>666</v>
      </c>
      <c r="B667" s="26" t="s">
        <v>53</v>
      </c>
      <c r="C667" s="26" t="s">
        <v>173</v>
      </c>
      <c r="D667" s="26" t="s">
        <v>922</v>
      </c>
      <c r="E667" s="21">
        <v>5246</v>
      </c>
      <c r="F667" s="21">
        <v>2615</v>
      </c>
      <c r="G667" s="21">
        <v>2631</v>
      </c>
      <c r="H667" s="21">
        <v>37.02825</v>
      </c>
      <c r="I667" s="21">
        <v>-4.3383880000000001</v>
      </c>
      <c r="J667" s="21">
        <v>685.79349999999999</v>
      </c>
      <c r="O667" s="21" t="str">
        <f t="shared" si="13"/>
        <v/>
      </c>
      <c r="R667" s="26" t="s">
        <v>400</v>
      </c>
      <c r="S667" s="21">
        <v>14.66109</v>
      </c>
    </row>
    <row r="668" spans="1:19" x14ac:dyDescent="0.25">
      <c r="A668" s="21">
        <v>667</v>
      </c>
      <c r="B668" s="26" t="s">
        <v>53</v>
      </c>
      <c r="C668" s="26" t="s">
        <v>174</v>
      </c>
      <c r="D668" s="26" t="s">
        <v>923</v>
      </c>
      <c r="E668" s="21">
        <v>2013</v>
      </c>
      <c r="F668" s="21">
        <v>1046</v>
      </c>
      <c r="G668" s="21">
        <v>967</v>
      </c>
      <c r="H668" s="21">
        <v>36.8628</v>
      </c>
      <c r="I668" s="21">
        <v>-4.1413310000000001</v>
      </c>
      <c r="J668" s="21">
        <v>166.8159</v>
      </c>
      <c r="O668" s="21" t="str">
        <f t="shared" si="13"/>
        <v/>
      </c>
      <c r="R668" s="26" t="s">
        <v>911</v>
      </c>
      <c r="S668" s="21">
        <v>541.60720000000003</v>
      </c>
    </row>
    <row r="669" spans="1:19" x14ac:dyDescent="0.25">
      <c r="A669" s="21">
        <v>668</v>
      </c>
      <c r="B669" s="26" t="s">
        <v>53</v>
      </c>
      <c r="C669" s="26" t="s">
        <v>176</v>
      </c>
      <c r="D669" s="26" t="s">
        <v>924</v>
      </c>
      <c r="E669" s="21">
        <v>2983</v>
      </c>
      <c r="F669" s="21">
        <v>1519</v>
      </c>
      <c r="G669" s="21">
        <v>1464</v>
      </c>
      <c r="H669" s="21">
        <v>36.731679999999997</v>
      </c>
      <c r="I669" s="21">
        <v>-4.9208689999999997</v>
      </c>
      <c r="J669" s="21">
        <v>675.08979999999997</v>
      </c>
      <c r="O669" s="21" t="str">
        <f t="shared" si="13"/>
        <v/>
      </c>
      <c r="R669" s="26" t="s">
        <v>295</v>
      </c>
      <c r="S669" s="21">
        <v>282.43509999999998</v>
      </c>
    </row>
    <row r="670" spans="1:19" x14ac:dyDescent="0.25">
      <c r="A670" s="21">
        <v>669</v>
      </c>
      <c r="B670" s="26" t="s">
        <v>55</v>
      </c>
      <c r="C670" s="26" t="s">
        <v>76</v>
      </c>
      <c r="D670" s="26" t="s">
        <v>925</v>
      </c>
      <c r="E670" s="21">
        <v>2114</v>
      </c>
      <c r="F670" s="21">
        <v>1043</v>
      </c>
      <c r="G670" s="21">
        <v>1071</v>
      </c>
      <c r="H670" s="21">
        <v>37.252830000000003</v>
      </c>
      <c r="I670" s="21">
        <v>-4.9911250000000003</v>
      </c>
      <c r="J670" s="21">
        <v>269.41989999999998</v>
      </c>
      <c r="O670" s="21" t="str">
        <f t="shared" si="13"/>
        <v/>
      </c>
      <c r="R670" s="26" t="s">
        <v>296</v>
      </c>
      <c r="S670" s="21">
        <v>685.37900000000002</v>
      </c>
    </row>
    <row r="671" spans="1:19" x14ac:dyDescent="0.25">
      <c r="A671" s="21">
        <v>670</v>
      </c>
      <c r="B671" s="26" t="s">
        <v>55</v>
      </c>
      <c r="C671" s="26" t="s">
        <v>77</v>
      </c>
      <c r="D671" s="26" t="s">
        <v>926</v>
      </c>
      <c r="E671" s="21">
        <v>1820</v>
      </c>
      <c r="F671" s="21">
        <v>912</v>
      </c>
      <c r="G671" s="21">
        <v>908</v>
      </c>
      <c r="H671" s="21">
        <v>38.037480000000002</v>
      </c>
      <c r="I671" s="21">
        <v>-5.715293</v>
      </c>
      <c r="J671" s="21">
        <v>674.49900000000002</v>
      </c>
      <c r="O671" s="21" t="str">
        <f t="shared" si="13"/>
        <v/>
      </c>
      <c r="R671" s="26" t="s">
        <v>1018</v>
      </c>
      <c r="S671" s="21">
        <v>29.869990000000001</v>
      </c>
    </row>
    <row r="672" spans="1:19" x14ac:dyDescent="0.25">
      <c r="A672" s="21">
        <v>671</v>
      </c>
      <c r="B672" s="26" t="s">
        <v>55</v>
      </c>
      <c r="C672" s="26" t="s">
        <v>78</v>
      </c>
      <c r="D672" s="26" t="s">
        <v>927</v>
      </c>
      <c r="E672" s="21">
        <v>3110</v>
      </c>
      <c r="F672" s="21">
        <v>1554</v>
      </c>
      <c r="G672" s="21">
        <v>1556</v>
      </c>
      <c r="H672" s="21">
        <v>37.427019999999999</v>
      </c>
      <c r="I672" s="21">
        <v>-6.1659259999999998</v>
      </c>
      <c r="J672" s="21">
        <v>165.98939999999999</v>
      </c>
      <c r="O672" s="21" t="str">
        <f t="shared" si="13"/>
        <v/>
      </c>
      <c r="R672" s="26" t="s">
        <v>912</v>
      </c>
      <c r="S672" s="21">
        <v>305.95310000000001</v>
      </c>
    </row>
    <row r="673" spans="1:19" x14ac:dyDescent="0.25">
      <c r="A673" s="21">
        <v>672</v>
      </c>
      <c r="B673" s="26" t="s">
        <v>55</v>
      </c>
      <c r="C673" s="26" t="s">
        <v>79</v>
      </c>
      <c r="D673" s="26" t="s">
        <v>928</v>
      </c>
      <c r="E673" s="21">
        <v>74845</v>
      </c>
      <c r="F673" s="21">
        <v>37222</v>
      </c>
      <c r="G673" s="21">
        <v>37623</v>
      </c>
      <c r="H673" s="21">
        <v>37.338329999999999</v>
      </c>
      <c r="I673" s="21">
        <v>-5.8440320000000003</v>
      </c>
      <c r="J673" s="21">
        <v>55.897190000000002</v>
      </c>
      <c r="O673" s="21" t="str">
        <f t="shared" si="13"/>
        <v/>
      </c>
      <c r="R673" s="26" t="s">
        <v>1019</v>
      </c>
      <c r="S673" s="21">
        <v>69.099969999999999</v>
      </c>
    </row>
    <row r="674" spans="1:19" x14ac:dyDescent="0.25">
      <c r="A674" s="21">
        <v>673</v>
      </c>
      <c r="B674" s="26" t="s">
        <v>55</v>
      </c>
      <c r="C674" s="26" t="s">
        <v>80</v>
      </c>
      <c r="D674" s="26" t="s">
        <v>929</v>
      </c>
      <c r="E674" s="21">
        <v>11745</v>
      </c>
      <c r="F674" s="21">
        <v>5967</v>
      </c>
      <c r="G674" s="21">
        <v>5778</v>
      </c>
      <c r="H674" s="21">
        <v>37.518270000000001</v>
      </c>
      <c r="I674" s="21">
        <v>-5.9782359999999999</v>
      </c>
      <c r="J674" s="21">
        <v>27.89068</v>
      </c>
      <c r="O674" s="21" t="str">
        <f t="shared" si="13"/>
        <v/>
      </c>
      <c r="R674" s="26" t="s">
        <v>401</v>
      </c>
      <c r="S674" s="21">
        <v>471.36439999999999</v>
      </c>
    </row>
    <row r="675" spans="1:19" x14ac:dyDescent="0.25">
      <c r="A675" s="21">
        <v>674</v>
      </c>
      <c r="B675" s="26" t="s">
        <v>55</v>
      </c>
      <c r="C675" s="26" t="s">
        <v>81</v>
      </c>
      <c r="D675" s="26" t="s">
        <v>930</v>
      </c>
      <c r="E675" s="21">
        <v>3414</v>
      </c>
      <c r="F675" s="21">
        <v>1712</v>
      </c>
      <c r="G675" s="21">
        <v>1702</v>
      </c>
      <c r="H675" s="21">
        <v>37.614159999999998</v>
      </c>
      <c r="I675" s="21">
        <v>-5.6712930000000004</v>
      </c>
      <c r="J675" s="21">
        <v>31.591249999999999</v>
      </c>
      <c r="O675" s="21" t="str">
        <f t="shared" si="13"/>
        <v/>
      </c>
      <c r="R675" s="26" t="s">
        <v>809</v>
      </c>
      <c r="S675" s="21">
        <v>329.47340000000003</v>
      </c>
    </row>
    <row r="676" spans="1:19" x14ac:dyDescent="0.25">
      <c r="A676" s="21">
        <v>675</v>
      </c>
      <c r="B676" s="26" t="s">
        <v>55</v>
      </c>
      <c r="C676" s="26" t="s">
        <v>82</v>
      </c>
      <c r="D676" s="26" t="s">
        <v>931</v>
      </c>
      <c r="E676" s="21">
        <v>16279</v>
      </c>
      <c r="F676" s="21">
        <v>8056</v>
      </c>
      <c r="G676" s="21">
        <v>8223</v>
      </c>
      <c r="H676" s="21">
        <v>37.461770000000001</v>
      </c>
      <c r="I676" s="21">
        <v>-6.0137359999999997</v>
      </c>
      <c r="J676" s="21">
        <v>11.909459999999999</v>
      </c>
      <c r="O676" s="21" t="str">
        <f t="shared" si="13"/>
        <v/>
      </c>
      <c r="R676" s="26" t="s">
        <v>468</v>
      </c>
      <c r="S676" s="21">
        <v>576.42570000000001</v>
      </c>
    </row>
    <row r="677" spans="1:19" x14ac:dyDescent="0.25">
      <c r="A677" s="21">
        <v>676</v>
      </c>
      <c r="B677" s="26" t="s">
        <v>55</v>
      </c>
      <c r="C677" s="26" t="s">
        <v>83</v>
      </c>
      <c r="D677" s="26" t="s">
        <v>932</v>
      </c>
      <c r="E677" s="21">
        <v>1291</v>
      </c>
      <c r="F677" s="21">
        <v>675</v>
      </c>
      <c r="G677" s="21">
        <v>616</v>
      </c>
      <c r="H677" s="21">
        <v>37.015009999999997</v>
      </c>
      <c r="I677" s="21">
        <v>-5.149775</v>
      </c>
      <c r="J677" s="21">
        <v>426.4051</v>
      </c>
      <c r="O677" s="21" t="str">
        <f t="shared" si="13"/>
        <v/>
      </c>
      <c r="R677" s="26" t="s">
        <v>630</v>
      </c>
      <c r="S677" s="21">
        <v>1219.53</v>
      </c>
    </row>
    <row r="678" spans="1:19" x14ac:dyDescent="0.25">
      <c r="A678" s="21">
        <v>677</v>
      </c>
      <c r="B678" s="26" t="s">
        <v>55</v>
      </c>
      <c r="C678" s="26" t="s">
        <v>84</v>
      </c>
      <c r="D678" s="26" t="s">
        <v>933</v>
      </c>
      <c r="E678" s="21">
        <v>1480</v>
      </c>
      <c r="F678" s="21">
        <v>762</v>
      </c>
      <c r="G678" s="21">
        <v>718</v>
      </c>
      <c r="H678" s="21">
        <v>37.873449999999998</v>
      </c>
      <c r="I678" s="21">
        <v>-6.0797660000000002</v>
      </c>
      <c r="J678" s="21">
        <v>454.19560000000001</v>
      </c>
      <c r="O678" s="21" t="str">
        <f t="shared" si="13"/>
        <v/>
      </c>
      <c r="R678" s="26" t="s">
        <v>810</v>
      </c>
      <c r="S678" s="21">
        <v>627.65210000000002</v>
      </c>
    </row>
    <row r="679" spans="1:19" x14ac:dyDescent="0.25">
      <c r="A679" s="21">
        <v>678</v>
      </c>
      <c r="B679" s="26" t="s">
        <v>55</v>
      </c>
      <c r="C679" s="26" t="s">
        <v>85</v>
      </c>
      <c r="D679" s="26" t="s">
        <v>934</v>
      </c>
      <c r="E679" s="21">
        <v>5861</v>
      </c>
      <c r="F679" s="21">
        <v>2937</v>
      </c>
      <c r="G679" s="21">
        <v>2924</v>
      </c>
      <c r="H679" s="21">
        <v>37.309040000000003</v>
      </c>
      <c r="I679" s="21">
        <v>-6.1139869999999998</v>
      </c>
      <c r="J679" s="21">
        <v>46.3095</v>
      </c>
      <c r="O679" s="21" t="str">
        <f t="shared" si="13"/>
        <v/>
      </c>
      <c r="R679" s="26" t="s">
        <v>811</v>
      </c>
      <c r="S679" s="21">
        <v>585.90949999999998</v>
      </c>
    </row>
    <row r="680" spans="1:19" x14ac:dyDescent="0.25">
      <c r="A680" s="21">
        <v>679</v>
      </c>
      <c r="B680" s="26" t="s">
        <v>55</v>
      </c>
      <c r="C680" s="26" t="s">
        <v>86</v>
      </c>
      <c r="D680" s="26" t="s">
        <v>935</v>
      </c>
      <c r="E680" s="21">
        <v>19550</v>
      </c>
      <c r="F680" s="21">
        <v>9683</v>
      </c>
      <c r="G680" s="21">
        <v>9867</v>
      </c>
      <c r="H680" s="21">
        <v>37.264099999999999</v>
      </c>
      <c r="I680" s="21">
        <v>-5.5428290000000002</v>
      </c>
      <c r="J680" s="21">
        <v>119.1923</v>
      </c>
      <c r="O680" s="21" t="str">
        <f t="shared" si="13"/>
        <v/>
      </c>
      <c r="R680" s="26" t="s">
        <v>913</v>
      </c>
      <c r="S680" s="21">
        <v>52.33766</v>
      </c>
    </row>
    <row r="681" spans="1:19" x14ac:dyDescent="0.25">
      <c r="A681" s="21">
        <v>680</v>
      </c>
      <c r="B681" s="26" t="s">
        <v>55</v>
      </c>
      <c r="C681" s="26" t="s">
        <v>87</v>
      </c>
      <c r="D681" s="26" t="s">
        <v>936</v>
      </c>
      <c r="E681" s="21">
        <v>4469</v>
      </c>
      <c r="F681" s="21">
        <v>2267</v>
      </c>
      <c r="G681" s="21">
        <v>2202</v>
      </c>
      <c r="H681" s="21">
        <v>37.30518</v>
      </c>
      <c r="I681" s="21">
        <v>-6.2484149999999996</v>
      </c>
      <c r="J681" s="21">
        <v>66.947810000000004</v>
      </c>
      <c r="O681" s="21" t="str">
        <f t="shared" si="13"/>
        <v/>
      </c>
      <c r="R681" s="26" t="s">
        <v>812</v>
      </c>
      <c r="S681" s="21">
        <v>757.69039999999995</v>
      </c>
    </row>
    <row r="682" spans="1:19" x14ac:dyDescent="0.25">
      <c r="A682" s="21">
        <v>681</v>
      </c>
      <c r="B682" s="26" t="s">
        <v>55</v>
      </c>
      <c r="C682" s="26" t="s">
        <v>89</v>
      </c>
      <c r="D682" s="26" t="s">
        <v>937</v>
      </c>
      <c r="E682" s="21">
        <v>6168</v>
      </c>
      <c r="F682" s="21">
        <v>3161</v>
      </c>
      <c r="G682" s="21">
        <v>3007</v>
      </c>
      <c r="H682" s="21">
        <v>37.523539999999997</v>
      </c>
      <c r="I682" s="21">
        <v>-6.2695650000000001</v>
      </c>
      <c r="J682" s="21">
        <v>142.94309999999999</v>
      </c>
      <c r="O682" s="21" t="str">
        <f t="shared" si="13"/>
        <v/>
      </c>
      <c r="R682" s="26" t="s">
        <v>813</v>
      </c>
      <c r="S682" s="21">
        <v>885.69280000000003</v>
      </c>
    </row>
    <row r="683" spans="1:19" x14ac:dyDescent="0.25">
      <c r="A683" s="21">
        <v>682</v>
      </c>
      <c r="B683" s="26" t="s">
        <v>55</v>
      </c>
      <c r="C683" s="26" t="s">
        <v>88</v>
      </c>
      <c r="D683" s="26" t="s">
        <v>938</v>
      </c>
      <c r="E683" s="21">
        <v>3147</v>
      </c>
      <c r="F683" s="21">
        <v>1625</v>
      </c>
      <c r="G683" s="21">
        <v>1522</v>
      </c>
      <c r="H683" s="21">
        <v>37.308709999999998</v>
      </c>
      <c r="I683" s="21">
        <v>-4.6728579999999997</v>
      </c>
      <c r="J683" s="21">
        <v>223.3192</v>
      </c>
      <c r="O683" s="21" t="str">
        <f t="shared" si="13"/>
        <v/>
      </c>
      <c r="R683" s="26" t="s">
        <v>814</v>
      </c>
      <c r="S683" s="21">
        <v>830.66849999999999</v>
      </c>
    </row>
    <row r="684" spans="1:19" x14ac:dyDescent="0.25">
      <c r="A684" s="21">
        <v>683</v>
      </c>
      <c r="B684" s="26" t="s">
        <v>55</v>
      </c>
      <c r="C684" s="26" t="s">
        <v>90</v>
      </c>
      <c r="D684" s="26" t="s">
        <v>939</v>
      </c>
      <c r="E684" s="21">
        <v>7163</v>
      </c>
      <c r="F684" s="21">
        <v>3581</v>
      </c>
      <c r="G684" s="21">
        <v>3582</v>
      </c>
      <c r="H684" s="21">
        <v>37.353430000000003</v>
      </c>
      <c r="I684" s="21">
        <v>-6.1990049999999997</v>
      </c>
      <c r="J684" s="21">
        <v>122.7115</v>
      </c>
      <c r="O684" s="21" t="str">
        <f t="shared" si="13"/>
        <v/>
      </c>
      <c r="R684" s="26" t="s">
        <v>914</v>
      </c>
      <c r="S684" s="21">
        <v>146.87729999999999</v>
      </c>
    </row>
    <row r="685" spans="1:19" x14ac:dyDescent="0.25">
      <c r="A685" s="21">
        <v>684</v>
      </c>
      <c r="B685" s="26" t="s">
        <v>55</v>
      </c>
      <c r="C685" s="26" t="s">
        <v>91</v>
      </c>
      <c r="D685" s="26" t="s">
        <v>940</v>
      </c>
      <c r="E685" s="21">
        <v>10199</v>
      </c>
      <c r="F685" s="21">
        <v>5139</v>
      </c>
      <c r="G685" s="21">
        <v>5060</v>
      </c>
      <c r="H685" s="21">
        <v>37.340110000000003</v>
      </c>
      <c r="I685" s="21">
        <v>-6.138757</v>
      </c>
      <c r="J685" s="21">
        <v>89.166150000000002</v>
      </c>
      <c r="O685" s="21" t="str">
        <f t="shared" ref="O685:O748" si="14">IFERROR(VLOOKUP($O$1,B685:D1457,3,FALSE),"")</f>
        <v/>
      </c>
      <c r="R685" s="26" t="s">
        <v>631</v>
      </c>
      <c r="S685" s="21">
        <v>667.79459999999995</v>
      </c>
    </row>
    <row r="686" spans="1:19" x14ac:dyDescent="0.25">
      <c r="A686" s="21">
        <v>685</v>
      </c>
      <c r="B686" s="26" t="s">
        <v>55</v>
      </c>
      <c r="C686" s="26" t="s">
        <v>92</v>
      </c>
      <c r="D686" s="26" t="s">
        <v>941</v>
      </c>
      <c r="E686" s="21">
        <v>21362</v>
      </c>
      <c r="F686" s="21">
        <v>10603</v>
      </c>
      <c r="G686" s="21">
        <v>10759</v>
      </c>
      <c r="H686" s="21">
        <v>37.371009999999998</v>
      </c>
      <c r="I686" s="21">
        <v>-6.0709609999999996</v>
      </c>
      <c r="J686" s="21">
        <v>100.3896</v>
      </c>
      <c r="O686" s="21" t="str">
        <f t="shared" si="14"/>
        <v/>
      </c>
      <c r="R686" s="26" t="s">
        <v>915</v>
      </c>
      <c r="S686" s="21">
        <v>285.32249999999999</v>
      </c>
    </row>
    <row r="687" spans="1:19" x14ac:dyDescent="0.25">
      <c r="A687" s="21">
        <v>686</v>
      </c>
      <c r="B687" s="26" t="s">
        <v>55</v>
      </c>
      <c r="C687" s="26" t="s">
        <v>93</v>
      </c>
      <c r="D687" s="26" t="s">
        <v>942</v>
      </c>
      <c r="E687" s="21">
        <v>12697</v>
      </c>
      <c r="F687" s="21">
        <v>6372</v>
      </c>
      <c r="G687" s="21">
        <v>6325</v>
      </c>
      <c r="H687" s="21">
        <v>37.55057</v>
      </c>
      <c r="I687" s="21">
        <v>-5.8730650000000004</v>
      </c>
      <c r="J687" s="21">
        <v>20.4634</v>
      </c>
      <c r="O687" s="21" t="str">
        <f t="shared" si="14"/>
        <v/>
      </c>
      <c r="R687" s="26" t="s">
        <v>402</v>
      </c>
      <c r="S687" s="21">
        <v>72.169420000000002</v>
      </c>
    </row>
    <row r="688" spans="1:19" x14ac:dyDescent="0.25">
      <c r="A688" s="21">
        <v>687</v>
      </c>
      <c r="B688" s="26" t="s">
        <v>55</v>
      </c>
      <c r="C688" s="26" t="s">
        <v>94</v>
      </c>
      <c r="D688" s="26" t="s">
        <v>943</v>
      </c>
      <c r="E688" s="21">
        <v>6420</v>
      </c>
      <c r="F688" s="21">
        <v>3249</v>
      </c>
      <c r="G688" s="21">
        <v>3171</v>
      </c>
      <c r="H688" s="21">
        <v>37.587249999999997</v>
      </c>
      <c r="I688" s="21">
        <v>-5.9672739999999997</v>
      </c>
      <c r="J688" s="21">
        <v>82.898300000000006</v>
      </c>
      <c r="O688" s="21" t="str">
        <f t="shared" si="14"/>
        <v/>
      </c>
      <c r="R688" s="26" t="s">
        <v>297</v>
      </c>
      <c r="S688" s="21">
        <v>693.09339999999997</v>
      </c>
    </row>
    <row r="689" spans="1:19" x14ac:dyDescent="0.25">
      <c r="A689" s="21">
        <v>688</v>
      </c>
      <c r="B689" s="26" t="s">
        <v>55</v>
      </c>
      <c r="C689" s="26" t="s">
        <v>95</v>
      </c>
      <c r="D689" s="26" t="s">
        <v>944</v>
      </c>
      <c r="E689" s="21">
        <v>16514</v>
      </c>
      <c r="F689" s="21">
        <v>8342</v>
      </c>
      <c r="G689" s="21">
        <v>8172</v>
      </c>
      <c r="H689" s="21">
        <v>36.98133</v>
      </c>
      <c r="I689" s="21">
        <v>-5.9408640000000004</v>
      </c>
      <c r="J689" s="21">
        <v>66.066379999999995</v>
      </c>
      <c r="O689" s="21" t="str">
        <f t="shared" si="14"/>
        <v/>
      </c>
      <c r="R689" s="26" t="s">
        <v>632</v>
      </c>
      <c r="S689" s="21">
        <v>1542.32</v>
      </c>
    </row>
    <row r="690" spans="1:19" x14ac:dyDescent="0.25">
      <c r="A690" s="21">
        <v>689</v>
      </c>
      <c r="B690" s="26" t="s">
        <v>55</v>
      </c>
      <c r="C690" s="26" t="s">
        <v>96</v>
      </c>
      <c r="D690" s="26" t="s">
        <v>945</v>
      </c>
      <c r="E690" s="21">
        <v>26861</v>
      </c>
      <c r="F690" s="21">
        <v>13114</v>
      </c>
      <c r="G690" s="21">
        <v>13747</v>
      </c>
      <c r="H690" s="21">
        <v>37.400869999999998</v>
      </c>
      <c r="I690" s="21">
        <v>-6.0329110000000004</v>
      </c>
      <c r="J690" s="21">
        <v>10.967040000000001</v>
      </c>
      <c r="O690" s="21" t="str">
        <f t="shared" si="14"/>
        <v/>
      </c>
      <c r="R690" s="26" t="s">
        <v>719</v>
      </c>
      <c r="S690" s="21">
        <v>78.589129999999997</v>
      </c>
    </row>
    <row r="691" spans="1:19" x14ac:dyDescent="0.25">
      <c r="A691" s="21">
        <v>690</v>
      </c>
      <c r="B691" s="26" t="s">
        <v>55</v>
      </c>
      <c r="C691" s="26" t="s">
        <v>97</v>
      </c>
      <c r="D691" s="26" t="s">
        <v>946</v>
      </c>
      <c r="E691" s="21">
        <v>5410</v>
      </c>
      <c r="F691" s="21">
        <v>2705</v>
      </c>
      <c r="G691" s="21">
        <v>2705</v>
      </c>
      <c r="H691" s="21">
        <v>37.569450000000003</v>
      </c>
      <c r="I691" s="21">
        <v>-5.4257679999999997</v>
      </c>
      <c r="J691" s="21">
        <v>138.4237</v>
      </c>
      <c r="O691" s="21" t="str">
        <f t="shared" si="14"/>
        <v/>
      </c>
      <c r="R691" s="26" t="s">
        <v>633</v>
      </c>
      <c r="S691" s="21">
        <v>698.52020000000005</v>
      </c>
    </row>
    <row r="692" spans="1:19" x14ac:dyDescent="0.25">
      <c r="A692" s="21">
        <v>691</v>
      </c>
      <c r="B692" s="26" t="s">
        <v>55</v>
      </c>
      <c r="C692" s="26" t="s">
        <v>98</v>
      </c>
      <c r="D692" s="26" t="s">
        <v>947</v>
      </c>
      <c r="E692" s="21">
        <v>10717</v>
      </c>
      <c r="F692" s="21">
        <v>5476</v>
      </c>
      <c r="G692" s="21">
        <v>5241</v>
      </c>
      <c r="H692" s="21">
        <v>37.608669999999996</v>
      </c>
      <c r="I692" s="21">
        <v>-5.8258260000000002</v>
      </c>
      <c r="J692" s="21">
        <v>31.12143</v>
      </c>
      <c r="O692" s="21" t="str">
        <f t="shared" si="14"/>
        <v/>
      </c>
      <c r="R692" s="26" t="s">
        <v>298</v>
      </c>
      <c r="S692" s="21">
        <v>49.414540000000002</v>
      </c>
    </row>
    <row r="693" spans="1:19" x14ac:dyDescent="0.25">
      <c r="A693" s="21">
        <v>692</v>
      </c>
      <c r="B693" s="26" t="s">
        <v>55</v>
      </c>
      <c r="C693" s="26" t="s">
        <v>138</v>
      </c>
      <c r="D693" s="26" t="s">
        <v>948</v>
      </c>
      <c r="E693" s="21">
        <v>3305</v>
      </c>
      <c r="F693" s="21">
        <v>1634</v>
      </c>
      <c r="G693" s="21">
        <v>1671</v>
      </c>
      <c r="H693" s="21">
        <v>37.598939999999999</v>
      </c>
      <c r="I693" s="21">
        <v>-5.2103580000000003</v>
      </c>
      <c r="J693" s="21">
        <v>157.57480000000001</v>
      </c>
      <c r="O693" s="21" t="str">
        <f t="shared" si="14"/>
        <v/>
      </c>
      <c r="R693" s="26" t="s">
        <v>299</v>
      </c>
      <c r="S693" s="21">
        <v>840.33810000000005</v>
      </c>
    </row>
    <row r="694" spans="1:19" x14ac:dyDescent="0.25">
      <c r="A694" s="21">
        <v>693</v>
      </c>
      <c r="B694" s="26" t="s">
        <v>55</v>
      </c>
      <c r="C694" s="26" t="s">
        <v>99</v>
      </c>
      <c r="D694" s="26" t="s">
        <v>949</v>
      </c>
      <c r="E694" s="21">
        <v>28656</v>
      </c>
      <c r="F694" s="21">
        <v>14439</v>
      </c>
      <c r="G694" s="21">
        <v>14217</v>
      </c>
      <c r="H694" s="21">
        <v>37.471020000000003</v>
      </c>
      <c r="I694" s="21">
        <v>-5.642328</v>
      </c>
      <c r="J694" s="21">
        <v>217.98070000000001</v>
      </c>
      <c r="O694" s="21" t="str">
        <f t="shared" si="14"/>
        <v/>
      </c>
      <c r="R694" s="26" t="s">
        <v>815</v>
      </c>
      <c r="S694" s="21">
        <v>737.46169999999995</v>
      </c>
    </row>
    <row r="695" spans="1:19" x14ac:dyDescent="0.25">
      <c r="A695" s="21">
        <v>694</v>
      </c>
      <c r="B695" s="26" t="s">
        <v>55</v>
      </c>
      <c r="C695" s="26" t="s">
        <v>100</v>
      </c>
      <c r="D695" s="26" t="s">
        <v>950</v>
      </c>
      <c r="E695" s="21">
        <v>2563</v>
      </c>
      <c r="F695" s="21">
        <v>1230</v>
      </c>
      <c r="G695" s="21">
        <v>1333</v>
      </c>
      <c r="H695" s="21">
        <v>37.368470000000002</v>
      </c>
      <c r="I695" s="21">
        <v>-6.3289580000000001</v>
      </c>
      <c r="J695" s="21">
        <v>101.1786</v>
      </c>
      <c r="O695" s="21" t="str">
        <f t="shared" si="14"/>
        <v/>
      </c>
      <c r="R695" s="26" t="s">
        <v>403</v>
      </c>
      <c r="S695" s="21">
        <v>326.72329999999999</v>
      </c>
    </row>
    <row r="696" spans="1:19" x14ac:dyDescent="0.25">
      <c r="A696" s="21">
        <v>695</v>
      </c>
      <c r="B696" s="26" t="s">
        <v>55</v>
      </c>
      <c r="C696" s="26" t="s">
        <v>101</v>
      </c>
      <c r="D696" s="26" t="s">
        <v>951</v>
      </c>
      <c r="E696" s="21">
        <v>5594</v>
      </c>
      <c r="F696" s="21">
        <v>2853</v>
      </c>
      <c r="G696" s="21">
        <v>2741</v>
      </c>
      <c r="H696" s="21">
        <v>37.293889999999998</v>
      </c>
      <c r="I696" s="21">
        <v>-4.7595320000000001</v>
      </c>
      <c r="J696" s="21">
        <v>307.18049999999999</v>
      </c>
      <c r="O696" s="21" t="str">
        <f t="shared" si="14"/>
        <v/>
      </c>
      <c r="R696" s="26" t="s">
        <v>634</v>
      </c>
      <c r="S696" s="21">
        <v>547.5222</v>
      </c>
    </row>
    <row r="697" spans="1:19" x14ac:dyDescent="0.25">
      <c r="A697" s="21">
        <v>696</v>
      </c>
      <c r="B697" s="26" t="s">
        <v>55</v>
      </c>
      <c r="C697" s="26" t="s">
        <v>103</v>
      </c>
      <c r="D697" s="26" t="s">
        <v>952</v>
      </c>
      <c r="E697" s="21">
        <v>4946</v>
      </c>
      <c r="F697" s="21">
        <v>2492</v>
      </c>
      <c r="G697" s="21">
        <v>2454</v>
      </c>
      <c r="H697" s="21">
        <v>37.674590000000002</v>
      </c>
      <c r="I697" s="21">
        <v>-5.9893000000000001</v>
      </c>
      <c r="J697" s="21">
        <v>328.96050000000002</v>
      </c>
      <c r="O697" s="21" t="str">
        <f t="shared" si="14"/>
        <v/>
      </c>
      <c r="R697" s="26" t="s">
        <v>300</v>
      </c>
      <c r="S697" s="21">
        <v>629.61369999999999</v>
      </c>
    </row>
    <row r="698" spans="1:19" x14ac:dyDescent="0.25">
      <c r="A698" s="21">
        <v>697</v>
      </c>
      <c r="B698" s="26" t="s">
        <v>55</v>
      </c>
      <c r="C698" s="26" t="s">
        <v>104</v>
      </c>
      <c r="D698" s="26" t="s">
        <v>953</v>
      </c>
      <c r="E698" s="21">
        <v>2855</v>
      </c>
      <c r="F698" s="21">
        <v>1457</v>
      </c>
      <c r="G698" s="21">
        <v>1398</v>
      </c>
      <c r="H698" s="21">
        <v>37.408650000000002</v>
      </c>
      <c r="I698" s="21">
        <v>-6.0574079999999997</v>
      </c>
      <c r="J698" s="21">
        <v>132.0701</v>
      </c>
      <c r="O698" s="21" t="str">
        <f t="shared" si="14"/>
        <v/>
      </c>
      <c r="R698" s="26" t="s">
        <v>1020</v>
      </c>
      <c r="S698" s="21">
        <v>126.0343</v>
      </c>
    </row>
    <row r="699" spans="1:19" x14ac:dyDescent="0.25">
      <c r="A699" s="21">
        <v>698</v>
      </c>
      <c r="B699" s="26" t="s">
        <v>55</v>
      </c>
      <c r="C699" s="26" t="s">
        <v>102</v>
      </c>
      <c r="D699" s="26" t="s">
        <v>954</v>
      </c>
      <c r="E699" s="21">
        <v>17459</v>
      </c>
      <c r="F699" s="21">
        <v>8469</v>
      </c>
      <c r="G699" s="21">
        <v>8990</v>
      </c>
      <c r="H699" s="21">
        <v>37.38644</v>
      </c>
      <c r="I699" s="21">
        <v>-6.0518380000000001</v>
      </c>
      <c r="J699" s="21">
        <v>99.498679999999993</v>
      </c>
      <c r="O699" s="21" t="str">
        <f t="shared" si="14"/>
        <v/>
      </c>
      <c r="R699" s="26" t="s">
        <v>301</v>
      </c>
      <c r="S699" s="21">
        <v>744.75530000000003</v>
      </c>
    </row>
    <row r="700" spans="1:19" x14ac:dyDescent="0.25">
      <c r="A700" s="21">
        <v>699</v>
      </c>
      <c r="B700" s="26" t="s">
        <v>55</v>
      </c>
      <c r="C700" s="26" t="s">
        <v>105</v>
      </c>
      <c r="D700" s="26" t="s">
        <v>955</v>
      </c>
      <c r="E700" s="21">
        <v>622</v>
      </c>
      <c r="F700" s="21">
        <v>317</v>
      </c>
      <c r="G700" s="21">
        <v>305</v>
      </c>
      <c r="H700" s="21">
        <v>37.385910000000003</v>
      </c>
      <c r="I700" s="21">
        <v>-6.3344500000000004</v>
      </c>
      <c r="J700" s="21">
        <v>117.3369</v>
      </c>
      <c r="O700" s="21" t="str">
        <f t="shared" si="14"/>
        <v/>
      </c>
      <c r="R700" s="26" t="s">
        <v>1021</v>
      </c>
      <c r="S700" s="21">
        <v>49.070160000000001</v>
      </c>
    </row>
    <row r="701" spans="1:19" x14ac:dyDescent="0.25">
      <c r="A701" s="21">
        <v>700</v>
      </c>
      <c r="B701" s="26" t="s">
        <v>55</v>
      </c>
      <c r="C701" s="26" t="s">
        <v>106</v>
      </c>
      <c r="D701" s="26" t="s">
        <v>956</v>
      </c>
      <c r="E701" s="21">
        <v>1511</v>
      </c>
      <c r="F701" s="21">
        <v>764</v>
      </c>
      <c r="G701" s="21">
        <v>747</v>
      </c>
      <c r="H701" s="21">
        <v>37.691600000000001</v>
      </c>
      <c r="I701" s="21">
        <v>-6.3142990000000001</v>
      </c>
      <c r="J701" s="21">
        <v>344.42140000000001</v>
      </c>
      <c r="O701" s="21" t="str">
        <f t="shared" si="14"/>
        <v/>
      </c>
      <c r="R701" s="26" t="s">
        <v>720</v>
      </c>
      <c r="S701" s="21">
        <v>619.30449999999996</v>
      </c>
    </row>
    <row r="702" spans="1:19" x14ac:dyDescent="0.25">
      <c r="A702" s="21">
        <v>701</v>
      </c>
      <c r="B702" s="26" t="s">
        <v>55</v>
      </c>
      <c r="C702" s="26" t="s">
        <v>107</v>
      </c>
      <c r="D702" s="26" t="s">
        <v>957</v>
      </c>
      <c r="E702" s="21">
        <v>5007</v>
      </c>
      <c r="F702" s="21">
        <v>2465</v>
      </c>
      <c r="G702" s="21">
        <v>2542</v>
      </c>
      <c r="H702" s="21">
        <v>37.929600000000001</v>
      </c>
      <c r="I702" s="21">
        <v>-5.7607989999999996</v>
      </c>
      <c r="J702" s="21">
        <v>589.11789999999996</v>
      </c>
      <c r="O702" s="21" t="str">
        <f t="shared" si="14"/>
        <v/>
      </c>
      <c r="R702" s="26" t="s">
        <v>816</v>
      </c>
      <c r="S702" s="21">
        <v>921.3818</v>
      </c>
    </row>
    <row r="703" spans="1:19" x14ac:dyDescent="0.25">
      <c r="A703" s="21">
        <v>702</v>
      </c>
      <c r="B703" s="26" t="s">
        <v>55</v>
      </c>
      <c r="C703" s="26" t="s">
        <v>108</v>
      </c>
      <c r="D703" s="26" t="s">
        <v>958</v>
      </c>
      <c r="E703" s="21">
        <v>6190</v>
      </c>
      <c r="F703" s="21">
        <v>3072</v>
      </c>
      <c r="G703" s="21">
        <v>3118</v>
      </c>
      <c r="H703" s="21">
        <v>37.87227</v>
      </c>
      <c r="I703" s="21">
        <v>-5.6191149999999999</v>
      </c>
      <c r="J703" s="21">
        <v>562.72500000000002</v>
      </c>
      <c r="O703" s="21" t="str">
        <f t="shared" si="14"/>
        <v/>
      </c>
      <c r="R703" s="26" t="s">
        <v>635</v>
      </c>
      <c r="S703" s="21">
        <v>550</v>
      </c>
    </row>
    <row r="704" spans="1:19" x14ac:dyDescent="0.25">
      <c r="A704" s="21">
        <v>703</v>
      </c>
      <c r="B704" s="26" t="s">
        <v>55</v>
      </c>
      <c r="C704" s="26" t="s">
        <v>109</v>
      </c>
      <c r="D704" s="26" t="s">
        <v>959</v>
      </c>
      <c r="E704" s="21">
        <v>30358</v>
      </c>
      <c r="F704" s="21">
        <v>15134</v>
      </c>
      <c r="G704" s="21">
        <v>15224</v>
      </c>
      <c r="H704" s="21">
        <v>37.285060000000001</v>
      </c>
      <c r="I704" s="21">
        <v>-6.0518140000000002</v>
      </c>
      <c r="J704" s="21">
        <v>12.71133</v>
      </c>
      <c r="O704" s="21" t="str">
        <f t="shared" si="14"/>
        <v/>
      </c>
      <c r="R704" s="26" t="s">
        <v>1022</v>
      </c>
      <c r="S704" s="21">
        <v>150.983</v>
      </c>
    </row>
    <row r="705" spans="1:19" x14ac:dyDescent="0.25">
      <c r="A705" s="21">
        <v>704</v>
      </c>
      <c r="B705" s="26" t="s">
        <v>55</v>
      </c>
      <c r="C705" s="26" t="s">
        <v>110</v>
      </c>
      <c r="D705" s="26" t="s">
        <v>960</v>
      </c>
      <c r="E705" s="21">
        <v>1359</v>
      </c>
      <c r="F705" s="21">
        <v>680</v>
      </c>
      <c r="G705" s="21">
        <v>679</v>
      </c>
      <c r="H705" s="21">
        <v>36.970230000000001</v>
      </c>
      <c r="I705" s="21">
        <v>-5.4413080000000003</v>
      </c>
      <c r="J705" s="21">
        <v>322.89580000000001</v>
      </c>
      <c r="O705" s="21" t="str">
        <f t="shared" si="14"/>
        <v/>
      </c>
      <c r="R705" s="26" t="s">
        <v>469</v>
      </c>
      <c r="S705" s="21">
        <v>341.02330000000001</v>
      </c>
    </row>
    <row r="706" spans="1:19" x14ac:dyDescent="0.25">
      <c r="A706" s="21">
        <v>705</v>
      </c>
      <c r="B706" s="26" t="s">
        <v>55</v>
      </c>
      <c r="C706" s="26" t="s">
        <v>111</v>
      </c>
      <c r="D706" s="26" t="s">
        <v>961</v>
      </c>
      <c r="E706" s="21">
        <v>4946</v>
      </c>
      <c r="F706" s="21">
        <v>2474</v>
      </c>
      <c r="G706" s="21">
        <v>2472</v>
      </c>
      <c r="H706" s="21">
        <v>37.082279999999997</v>
      </c>
      <c r="I706" s="21">
        <v>-5.6334669999999996</v>
      </c>
      <c r="J706" s="21">
        <v>135</v>
      </c>
      <c r="O706" s="21" t="str">
        <f t="shared" si="14"/>
        <v/>
      </c>
      <c r="R706" s="26" t="s">
        <v>916</v>
      </c>
      <c r="S706" s="21">
        <v>345.64920000000001</v>
      </c>
    </row>
    <row r="707" spans="1:19" x14ac:dyDescent="0.25">
      <c r="A707" s="21">
        <v>706</v>
      </c>
      <c r="B707" s="26" t="s">
        <v>55</v>
      </c>
      <c r="C707" s="26" t="s">
        <v>112</v>
      </c>
      <c r="D707" s="26" t="s">
        <v>962</v>
      </c>
      <c r="E707" s="21">
        <v>4003</v>
      </c>
      <c r="F707" s="21">
        <v>2051</v>
      </c>
      <c r="G707" s="21">
        <v>1952</v>
      </c>
      <c r="H707" s="21">
        <v>37.097320000000003</v>
      </c>
      <c r="I707" s="21">
        <v>-4.9829100000000004</v>
      </c>
      <c r="J707" s="21">
        <v>387.23399999999998</v>
      </c>
      <c r="O707" s="21" t="str">
        <f t="shared" si="14"/>
        <v/>
      </c>
      <c r="R707" s="26" t="s">
        <v>636</v>
      </c>
      <c r="S707" s="21">
        <v>1245.152</v>
      </c>
    </row>
    <row r="708" spans="1:19" x14ac:dyDescent="0.25">
      <c r="A708" s="21">
        <v>707</v>
      </c>
      <c r="B708" s="26" t="s">
        <v>55</v>
      </c>
      <c r="C708" s="26" t="s">
        <v>165</v>
      </c>
      <c r="D708" s="26" t="s">
        <v>963</v>
      </c>
      <c r="E708" s="21">
        <v>8694</v>
      </c>
      <c r="F708" s="21">
        <v>4439</v>
      </c>
      <c r="G708" s="21">
        <v>4255</v>
      </c>
      <c r="H708" s="21">
        <v>36.85136</v>
      </c>
      <c r="I708" s="21">
        <v>-6.0416249999999998</v>
      </c>
      <c r="J708" s="21">
        <v>59.24586</v>
      </c>
      <c r="O708" s="21" t="str">
        <f t="shared" si="14"/>
        <v/>
      </c>
      <c r="R708" s="26" t="s">
        <v>637</v>
      </c>
      <c r="S708" s="21">
        <v>1245.152</v>
      </c>
    </row>
    <row r="709" spans="1:19" x14ac:dyDescent="0.25">
      <c r="A709" s="21">
        <v>708</v>
      </c>
      <c r="B709" s="26" t="s">
        <v>55</v>
      </c>
      <c r="C709" s="26" t="s">
        <v>113</v>
      </c>
      <c r="D709" s="26" t="s">
        <v>964</v>
      </c>
      <c r="E709" s="21">
        <v>131317</v>
      </c>
      <c r="F709" s="21">
        <v>64762</v>
      </c>
      <c r="G709" s="21">
        <v>66555</v>
      </c>
      <c r="H709" s="21">
        <v>37.283180000000002</v>
      </c>
      <c r="I709" s="21">
        <v>-5.9222419999999998</v>
      </c>
      <c r="J709" s="21">
        <v>47.757390000000001</v>
      </c>
      <c r="O709" s="21" t="str">
        <f t="shared" si="14"/>
        <v/>
      </c>
      <c r="R709" s="26" t="s">
        <v>638</v>
      </c>
      <c r="S709" s="21">
        <v>901.98649999999998</v>
      </c>
    </row>
    <row r="710" spans="1:19" x14ac:dyDescent="0.25">
      <c r="A710" s="21">
        <v>709</v>
      </c>
      <c r="B710" s="26" t="s">
        <v>55</v>
      </c>
      <c r="C710" s="26" t="s">
        <v>114</v>
      </c>
      <c r="D710" s="26" t="s">
        <v>965</v>
      </c>
      <c r="E710" s="21">
        <v>40320</v>
      </c>
      <c r="F710" s="21">
        <v>19864</v>
      </c>
      <c r="G710" s="21">
        <v>20456</v>
      </c>
      <c r="H710" s="21">
        <v>37.540930000000003</v>
      </c>
      <c r="I710" s="21">
        <v>-5.0799529999999997</v>
      </c>
      <c r="J710" s="21">
        <v>109</v>
      </c>
      <c r="O710" s="21" t="str">
        <f t="shared" si="14"/>
        <v/>
      </c>
      <c r="R710" s="26" t="s">
        <v>470</v>
      </c>
      <c r="S710" s="21">
        <v>578.04660000000001</v>
      </c>
    </row>
    <row r="711" spans="1:19" x14ac:dyDescent="0.25">
      <c r="A711" s="21">
        <v>710</v>
      </c>
      <c r="B711" s="26" t="s">
        <v>55</v>
      </c>
      <c r="C711" s="26" t="s">
        <v>115</v>
      </c>
      <c r="D711" s="26" t="s">
        <v>966</v>
      </c>
      <c r="E711" s="21">
        <v>14909</v>
      </c>
      <c r="F711" s="21">
        <v>7475</v>
      </c>
      <c r="G711" s="21">
        <v>7434</v>
      </c>
      <c r="H711" s="21">
        <v>37.37997</v>
      </c>
      <c r="I711" s="21">
        <v>-6.123577</v>
      </c>
      <c r="J711" s="21">
        <v>129.52699999999999</v>
      </c>
      <c r="O711" s="21" t="str">
        <f t="shared" si="14"/>
        <v/>
      </c>
      <c r="R711" s="26" t="s">
        <v>721</v>
      </c>
      <c r="S711" s="21">
        <v>282.47629999999998</v>
      </c>
    </row>
    <row r="712" spans="1:19" x14ac:dyDescent="0.25">
      <c r="A712" s="21">
        <v>711</v>
      </c>
      <c r="B712" s="26" t="s">
        <v>55</v>
      </c>
      <c r="C712" s="26" t="s">
        <v>116</v>
      </c>
      <c r="D712" s="26" t="s">
        <v>967</v>
      </c>
      <c r="E712" s="21">
        <v>12716</v>
      </c>
      <c r="F712" s="21">
        <v>6312</v>
      </c>
      <c r="G712" s="21">
        <v>6404</v>
      </c>
      <c r="H712" s="21">
        <v>37.291469999999997</v>
      </c>
      <c r="I712" s="21">
        <v>-4.8785059999999998</v>
      </c>
      <c r="J712" s="21">
        <v>536.46299999999997</v>
      </c>
      <c r="O712" s="21" t="str">
        <f t="shared" si="14"/>
        <v/>
      </c>
      <c r="R712" s="26" t="s">
        <v>639</v>
      </c>
      <c r="S712" s="21">
        <v>615</v>
      </c>
    </row>
    <row r="713" spans="1:19" x14ac:dyDescent="0.25">
      <c r="A713" s="21">
        <v>712</v>
      </c>
      <c r="B713" s="26" t="s">
        <v>55</v>
      </c>
      <c r="C713" s="26" t="s">
        <v>117</v>
      </c>
      <c r="D713" s="26" t="s">
        <v>968</v>
      </c>
      <c r="E713" s="21">
        <v>7190</v>
      </c>
      <c r="F713" s="21">
        <v>3583</v>
      </c>
      <c r="G713" s="21">
        <v>3607</v>
      </c>
      <c r="H713" s="21">
        <v>37.462209999999999</v>
      </c>
      <c r="I713" s="21">
        <v>-5.3483850000000004</v>
      </c>
      <c r="J713" s="21">
        <v>181.6506</v>
      </c>
      <c r="O713" s="21" t="str">
        <f t="shared" si="14"/>
        <v/>
      </c>
      <c r="R713" s="26" t="s">
        <v>404</v>
      </c>
      <c r="S713" s="21">
        <v>178.6806</v>
      </c>
    </row>
    <row r="714" spans="1:19" x14ac:dyDescent="0.25">
      <c r="A714" s="21">
        <v>713</v>
      </c>
      <c r="B714" s="26" t="s">
        <v>55</v>
      </c>
      <c r="C714" s="26" t="s">
        <v>118</v>
      </c>
      <c r="D714" s="26" t="s">
        <v>969</v>
      </c>
      <c r="E714" s="21">
        <v>777</v>
      </c>
      <c r="F714" s="21">
        <v>400</v>
      </c>
      <c r="G714" s="21">
        <v>377</v>
      </c>
      <c r="H714" s="21">
        <v>37.625390000000003</v>
      </c>
      <c r="I714" s="21">
        <v>-6.1724209999999999</v>
      </c>
      <c r="J714" s="21">
        <v>269.61070000000001</v>
      </c>
      <c r="O714" s="21" t="str">
        <f t="shared" si="14"/>
        <v/>
      </c>
      <c r="R714" s="26" t="s">
        <v>302</v>
      </c>
      <c r="S714" s="21">
        <v>937.57159999999999</v>
      </c>
    </row>
    <row r="715" spans="1:19" x14ac:dyDescent="0.25">
      <c r="A715" s="21">
        <v>714</v>
      </c>
      <c r="B715" s="26" t="s">
        <v>55</v>
      </c>
      <c r="C715" s="26" t="s">
        <v>119</v>
      </c>
      <c r="D715" s="26" t="s">
        <v>970</v>
      </c>
      <c r="E715" s="21">
        <v>9838</v>
      </c>
      <c r="F715" s="21">
        <v>4882</v>
      </c>
      <c r="G715" s="21">
        <v>4956</v>
      </c>
      <c r="H715" s="21">
        <v>37.336770000000001</v>
      </c>
      <c r="I715" s="21">
        <v>-6.0253329999999998</v>
      </c>
      <c r="J715" s="21">
        <v>9.0876789999999996</v>
      </c>
      <c r="O715" s="21" t="str">
        <f t="shared" si="14"/>
        <v/>
      </c>
      <c r="R715" s="26" t="s">
        <v>640</v>
      </c>
      <c r="S715" s="21">
        <v>170.5154</v>
      </c>
    </row>
    <row r="716" spans="1:19" x14ac:dyDescent="0.25">
      <c r="A716" s="21">
        <v>715</v>
      </c>
      <c r="B716" s="26" t="s">
        <v>55</v>
      </c>
      <c r="C716" s="26" t="s">
        <v>120</v>
      </c>
      <c r="D716" s="26" t="s">
        <v>971</v>
      </c>
      <c r="E716" s="21">
        <v>7404</v>
      </c>
      <c r="F716" s="21">
        <v>3746</v>
      </c>
      <c r="G716" s="21">
        <v>3658</v>
      </c>
      <c r="H716" s="21">
        <v>37.525530000000003</v>
      </c>
      <c r="I716" s="21">
        <v>-6.157654</v>
      </c>
      <c r="J716" s="21">
        <v>91.187669999999997</v>
      </c>
      <c r="O716" s="21" t="str">
        <f t="shared" si="14"/>
        <v/>
      </c>
      <c r="R716" s="26" t="s">
        <v>303</v>
      </c>
      <c r="S716" s="21">
        <v>1072.432</v>
      </c>
    </row>
    <row r="717" spans="1:19" x14ac:dyDescent="0.25">
      <c r="A717" s="21">
        <v>716</v>
      </c>
      <c r="B717" s="26" t="s">
        <v>55</v>
      </c>
      <c r="C717" s="26" t="s">
        <v>121</v>
      </c>
      <c r="D717" s="26" t="s">
        <v>972</v>
      </c>
      <c r="E717" s="21">
        <v>3861</v>
      </c>
      <c r="F717" s="21">
        <v>1948</v>
      </c>
      <c r="G717" s="21">
        <v>1913</v>
      </c>
      <c r="H717" s="21">
        <v>37.251339999999999</v>
      </c>
      <c r="I717" s="21">
        <v>-4.913494</v>
      </c>
      <c r="J717" s="21">
        <v>466</v>
      </c>
      <c r="O717" s="21" t="str">
        <f t="shared" si="14"/>
        <v/>
      </c>
      <c r="R717" s="26" t="s">
        <v>917</v>
      </c>
      <c r="S717" s="21">
        <v>55.927480000000003</v>
      </c>
    </row>
    <row r="718" spans="1:19" x14ac:dyDescent="0.25">
      <c r="A718" s="21">
        <v>717</v>
      </c>
      <c r="B718" s="26" t="s">
        <v>55</v>
      </c>
      <c r="C718" s="26" t="s">
        <v>122</v>
      </c>
      <c r="D718" s="26" t="s">
        <v>973</v>
      </c>
      <c r="E718" s="21">
        <v>13309</v>
      </c>
      <c r="F718" s="21">
        <v>6558</v>
      </c>
      <c r="G718" s="21">
        <v>6751</v>
      </c>
      <c r="H718" s="21">
        <v>37.387129999999999</v>
      </c>
      <c r="I718" s="21">
        <v>-6.0782639999999999</v>
      </c>
      <c r="J718" s="21">
        <v>122.60120000000001</v>
      </c>
      <c r="O718" s="21" t="str">
        <f t="shared" si="14"/>
        <v/>
      </c>
      <c r="R718" s="26" t="s">
        <v>304</v>
      </c>
      <c r="S718" s="21">
        <v>842.28589999999997</v>
      </c>
    </row>
    <row r="719" spans="1:19" x14ac:dyDescent="0.25">
      <c r="A719" s="21">
        <v>718</v>
      </c>
      <c r="B719" s="26" t="s">
        <v>55</v>
      </c>
      <c r="C719" s="26" t="s">
        <v>123</v>
      </c>
      <c r="D719" s="26" t="s">
        <v>974</v>
      </c>
      <c r="E719" s="21">
        <v>2744</v>
      </c>
      <c r="F719" s="21">
        <v>1368</v>
      </c>
      <c r="G719" s="21">
        <v>1376</v>
      </c>
      <c r="H719" s="21">
        <v>38.09198</v>
      </c>
      <c r="I719" s="21">
        <v>-5.8211649999999997</v>
      </c>
      <c r="J719" s="21">
        <v>666.40880000000004</v>
      </c>
      <c r="O719" s="21" t="str">
        <f t="shared" si="14"/>
        <v/>
      </c>
      <c r="R719" s="26" t="s">
        <v>641</v>
      </c>
      <c r="S719" s="21">
        <v>858.721</v>
      </c>
    </row>
    <row r="720" spans="1:19" x14ac:dyDescent="0.25">
      <c r="A720" s="21">
        <v>719</v>
      </c>
      <c r="B720" s="26" t="s">
        <v>55</v>
      </c>
      <c r="C720" s="26" t="s">
        <v>124</v>
      </c>
      <c r="D720" s="26" t="s">
        <v>975</v>
      </c>
      <c r="E720" s="21">
        <v>12506</v>
      </c>
      <c r="F720" s="21">
        <v>6317</v>
      </c>
      <c r="G720" s="21">
        <v>6189</v>
      </c>
      <c r="H720" s="21">
        <v>37.539020000000001</v>
      </c>
      <c r="I720" s="21">
        <v>-6.0522679999999998</v>
      </c>
      <c r="J720" s="21">
        <v>23.119579999999999</v>
      </c>
      <c r="O720" s="21" t="str">
        <f t="shared" si="14"/>
        <v/>
      </c>
      <c r="R720" s="26" t="s">
        <v>305</v>
      </c>
      <c r="S720" s="21">
        <v>102.06570000000001</v>
      </c>
    </row>
    <row r="721" spans="1:19" x14ac:dyDescent="0.25">
      <c r="A721" s="21">
        <v>720</v>
      </c>
      <c r="B721" s="26" t="s">
        <v>55</v>
      </c>
      <c r="C721" s="26" t="s">
        <v>125</v>
      </c>
      <c r="D721" s="26" t="s">
        <v>976</v>
      </c>
      <c r="E721" s="21">
        <v>6467</v>
      </c>
      <c r="F721" s="21">
        <v>3212</v>
      </c>
      <c r="G721" s="21">
        <v>3255</v>
      </c>
      <c r="H721" s="21">
        <v>37.361759999999997</v>
      </c>
      <c r="I721" s="21">
        <v>-4.8500139999999998</v>
      </c>
      <c r="J721" s="21">
        <v>250.99770000000001</v>
      </c>
      <c r="O721" s="21" t="str">
        <f t="shared" si="14"/>
        <v/>
      </c>
      <c r="R721" s="26" t="s">
        <v>306</v>
      </c>
      <c r="S721" s="21">
        <v>74.791730000000001</v>
      </c>
    </row>
    <row r="722" spans="1:19" x14ac:dyDescent="0.25">
      <c r="A722" s="21">
        <v>721</v>
      </c>
      <c r="B722" s="26" t="s">
        <v>55</v>
      </c>
      <c r="C722" s="26" t="s">
        <v>126</v>
      </c>
      <c r="D722" s="26" t="s">
        <v>977</v>
      </c>
      <c r="E722" s="21">
        <v>2791</v>
      </c>
      <c r="F722" s="21">
        <v>1440</v>
      </c>
      <c r="G722" s="21">
        <v>1351</v>
      </c>
      <c r="H722" s="21">
        <v>37.355989999999998</v>
      </c>
      <c r="I722" s="21">
        <v>-6.2765899999999997</v>
      </c>
      <c r="J722" s="21">
        <v>72.443719999999999</v>
      </c>
      <c r="O722" s="21" t="str">
        <f t="shared" si="14"/>
        <v/>
      </c>
      <c r="R722" s="26" t="s">
        <v>307</v>
      </c>
      <c r="S722" s="21">
        <v>276.2602</v>
      </c>
    </row>
    <row r="723" spans="1:19" x14ac:dyDescent="0.25">
      <c r="A723" s="21">
        <v>722</v>
      </c>
      <c r="B723" s="26" t="s">
        <v>55</v>
      </c>
      <c r="C723" s="26" t="s">
        <v>180</v>
      </c>
      <c r="D723" s="26" t="s">
        <v>978</v>
      </c>
      <c r="E723" s="21">
        <v>5938</v>
      </c>
      <c r="F723" s="21">
        <v>2977</v>
      </c>
      <c r="G723" s="21">
        <v>2961</v>
      </c>
      <c r="H723" s="21">
        <v>37.133560000000003</v>
      </c>
      <c r="I723" s="21">
        <v>-6.1628069999999999</v>
      </c>
      <c r="J723" s="21">
        <v>4</v>
      </c>
      <c r="O723" s="21" t="str">
        <f t="shared" si="14"/>
        <v/>
      </c>
      <c r="R723" s="26" t="s">
        <v>471</v>
      </c>
      <c r="S723" s="21">
        <v>122.8182</v>
      </c>
    </row>
    <row r="724" spans="1:19" x14ac:dyDescent="0.25">
      <c r="A724" s="21">
        <v>723</v>
      </c>
      <c r="B724" s="26" t="s">
        <v>55</v>
      </c>
      <c r="C724" s="26" t="s">
        <v>127</v>
      </c>
      <c r="D724" s="26" t="s">
        <v>979</v>
      </c>
      <c r="E724" s="21">
        <v>3873</v>
      </c>
      <c r="F724" s="21">
        <v>1978</v>
      </c>
      <c r="G724" s="21">
        <v>1895</v>
      </c>
      <c r="H724" s="21">
        <v>37.353529999999999</v>
      </c>
      <c r="I724" s="21">
        <v>-5.2229859999999997</v>
      </c>
      <c r="J724" s="21">
        <v>152.5531</v>
      </c>
      <c r="O724" s="21" t="str">
        <f t="shared" si="14"/>
        <v/>
      </c>
      <c r="R724" s="26" t="s">
        <v>817</v>
      </c>
      <c r="S724" s="21">
        <v>546.20389999999998</v>
      </c>
    </row>
    <row r="725" spans="1:19" x14ac:dyDescent="0.25">
      <c r="A725" s="21">
        <v>724</v>
      </c>
      <c r="B725" s="26" t="s">
        <v>55</v>
      </c>
      <c r="C725" s="26" t="s">
        <v>128</v>
      </c>
      <c r="D725" s="26" t="s">
        <v>980</v>
      </c>
      <c r="E725" s="21">
        <v>27449</v>
      </c>
      <c r="F725" s="21">
        <v>13730</v>
      </c>
      <c r="G725" s="21">
        <v>13719</v>
      </c>
      <c r="H725" s="21">
        <v>36.919510000000002</v>
      </c>
      <c r="I725" s="21">
        <v>-6.0783670000000001</v>
      </c>
      <c r="J725" s="21">
        <v>36.064039999999999</v>
      </c>
      <c r="O725" s="21" t="str">
        <f t="shared" si="14"/>
        <v/>
      </c>
      <c r="R725" s="26" t="s">
        <v>642</v>
      </c>
      <c r="S725" s="21">
        <v>783.02340000000004</v>
      </c>
    </row>
    <row r="726" spans="1:19" x14ac:dyDescent="0.25">
      <c r="A726" s="21">
        <v>725</v>
      </c>
      <c r="B726" s="26" t="s">
        <v>55</v>
      </c>
      <c r="C726" s="26" t="s">
        <v>129</v>
      </c>
      <c r="D726" s="26" t="s">
        <v>981</v>
      </c>
      <c r="E726" s="21">
        <v>856</v>
      </c>
      <c r="F726" s="21">
        <v>437</v>
      </c>
      <c r="G726" s="21">
        <v>419</v>
      </c>
      <c r="H726" s="21">
        <v>37.268689999999999</v>
      </c>
      <c r="I726" s="21">
        <v>-4.8278150000000002</v>
      </c>
      <c r="J726" s="21">
        <v>447.55959999999999</v>
      </c>
      <c r="O726" s="21" t="str">
        <f t="shared" si="14"/>
        <v/>
      </c>
      <c r="R726" s="26" t="s">
        <v>472</v>
      </c>
      <c r="S726" s="21">
        <v>164.00460000000001</v>
      </c>
    </row>
    <row r="727" spans="1:19" x14ac:dyDescent="0.25">
      <c r="A727" s="21">
        <v>726</v>
      </c>
      <c r="B727" s="26" t="s">
        <v>55</v>
      </c>
      <c r="C727" s="26" t="s">
        <v>130</v>
      </c>
      <c r="D727" s="26" t="s">
        <v>982</v>
      </c>
      <c r="E727" s="21">
        <v>19328</v>
      </c>
      <c r="F727" s="21">
        <v>9572</v>
      </c>
      <c r="G727" s="21">
        <v>9756</v>
      </c>
      <c r="H727" s="21">
        <v>37.659230000000001</v>
      </c>
      <c r="I727" s="21">
        <v>-5.5262840000000004</v>
      </c>
      <c r="J727" s="21">
        <v>42.946359999999999</v>
      </c>
      <c r="O727" s="21" t="str">
        <f t="shared" si="14"/>
        <v/>
      </c>
      <c r="R727" s="26" t="s">
        <v>722</v>
      </c>
      <c r="S727" s="21">
        <v>95.639740000000003</v>
      </c>
    </row>
    <row r="728" spans="1:19" x14ac:dyDescent="0.25">
      <c r="A728" s="21">
        <v>727</v>
      </c>
      <c r="B728" s="26" t="s">
        <v>55</v>
      </c>
      <c r="C728" s="26" t="s">
        <v>131</v>
      </c>
      <c r="D728" s="26" t="s">
        <v>983</v>
      </c>
      <c r="E728" s="21">
        <v>4674</v>
      </c>
      <c r="F728" s="21">
        <v>2357</v>
      </c>
      <c r="G728" s="21">
        <v>2317</v>
      </c>
      <c r="H728" s="21">
        <v>37.526130000000002</v>
      </c>
      <c r="I728" s="21">
        <v>-5.2487209999999997</v>
      </c>
      <c r="J728" s="21">
        <v>170.00399999999999</v>
      </c>
      <c r="O728" s="21" t="str">
        <f t="shared" si="14"/>
        <v/>
      </c>
      <c r="R728" s="26" t="s">
        <v>818</v>
      </c>
      <c r="S728" s="21">
        <v>793.01480000000004</v>
      </c>
    </row>
    <row r="729" spans="1:19" x14ac:dyDescent="0.25">
      <c r="A729" s="21">
        <v>728</v>
      </c>
      <c r="B729" s="26" t="s">
        <v>55</v>
      </c>
      <c r="C729" s="26" t="s">
        <v>132</v>
      </c>
      <c r="D729" s="26" t="s">
        <v>984</v>
      </c>
      <c r="E729" s="21">
        <v>305</v>
      </c>
      <c r="F729" s="21">
        <v>151</v>
      </c>
      <c r="G729" s="21">
        <v>154</v>
      </c>
      <c r="H729" s="21">
        <v>37.645479999999999</v>
      </c>
      <c r="I729" s="21">
        <v>-6.5116990000000001</v>
      </c>
      <c r="J729" s="21">
        <v>357.12270000000001</v>
      </c>
      <c r="O729" s="21" t="str">
        <f t="shared" si="14"/>
        <v/>
      </c>
      <c r="R729" s="26" t="s">
        <v>473</v>
      </c>
      <c r="S729" s="21">
        <v>143.05439999999999</v>
      </c>
    </row>
    <row r="730" spans="1:19" x14ac:dyDescent="0.25">
      <c r="A730" s="21">
        <v>729</v>
      </c>
      <c r="B730" s="26" t="s">
        <v>55</v>
      </c>
      <c r="C730" s="26" t="s">
        <v>133</v>
      </c>
      <c r="D730" s="26" t="s">
        <v>985</v>
      </c>
      <c r="E730" s="21">
        <v>22749</v>
      </c>
      <c r="F730" s="21">
        <v>11416</v>
      </c>
      <c r="G730" s="21">
        <v>11333</v>
      </c>
      <c r="H730" s="21">
        <v>37.373159999999999</v>
      </c>
      <c r="I730" s="21">
        <v>-5.7475949999999996</v>
      </c>
      <c r="J730" s="21">
        <v>131.10659999999999</v>
      </c>
      <c r="O730" s="21" t="str">
        <f t="shared" si="14"/>
        <v/>
      </c>
      <c r="R730" s="26" t="s">
        <v>474</v>
      </c>
      <c r="S730" s="21">
        <v>578.86540000000002</v>
      </c>
    </row>
    <row r="731" spans="1:19" x14ac:dyDescent="0.25">
      <c r="A731" s="21">
        <v>730</v>
      </c>
      <c r="B731" s="26" t="s">
        <v>55</v>
      </c>
      <c r="C731" s="26" t="s">
        <v>135</v>
      </c>
      <c r="D731" s="26" t="s">
        <v>986</v>
      </c>
      <c r="E731" s="21">
        <v>44388</v>
      </c>
      <c r="F731" s="21">
        <v>21742</v>
      </c>
      <c r="G731" s="21">
        <v>22646</v>
      </c>
      <c r="H731" s="21">
        <v>37.34449</v>
      </c>
      <c r="I731" s="21">
        <v>-6.0653540000000001</v>
      </c>
      <c r="J731" s="21">
        <v>67.954909999999998</v>
      </c>
      <c r="O731" s="21" t="str">
        <f t="shared" si="14"/>
        <v/>
      </c>
      <c r="R731" s="26" t="s">
        <v>723</v>
      </c>
      <c r="S731" s="21">
        <v>161.80709999999999</v>
      </c>
    </row>
    <row r="732" spans="1:19" x14ac:dyDescent="0.25">
      <c r="A732" s="21">
        <v>731</v>
      </c>
      <c r="B732" s="26" t="s">
        <v>55</v>
      </c>
      <c r="C732" s="26" t="s">
        <v>134</v>
      </c>
      <c r="D732" s="26" t="s">
        <v>987</v>
      </c>
      <c r="E732" s="21">
        <v>19878</v>
      </c>
      <c r="F732" s="21">
        <v>9945</v>
      </c>
      <c r="G732" s="21">
        <v>9933</v>
      </c>
      <c r="H732" s="21">
        <v>37.329720000000002</v>
      </c>
      <c r="I732" s="21">
        <v>-5.4164649999999996</v>
      </c>
      <c r="J732" s="21">
        <v>132.541</v>
      </c>
      <c r="O732" s="21" t="str">
        <f t="shared" si="14"/>
        <v/>
      </c>
      <c r="R732" s="26" t="s">
        <v>405</v>
      </c>
      <c r="S732" s="21">
        <v>874.97239999999999</v>
      </c>
    </row>
    <row r="733" spans="1:19" x14ac:dyDescent="0.25">
      <c r="A733" s="21">
        <v>732</v>
      </c>
      <c r="B733" s="26" t="s">
        <v>55</v>
      </c>
      <c r="C733" s="26" t="s">
        <v>136</v>
      </c>
      <c r="D733" s="26" t="s">
        <v>988</v>
      </c>
      <c r="E733" s="21">
        <v>2734</v>
      </c>
      <c r="F733" s="21">
        <v>1398</v>
      </c>
      <c r="G733" s="21">
        <v>1336</v>
      </c>
      <c r="H733" s="21">
        <v>37.37473</v>
      </c>
      <c r="I733" s="21">
        <v>-4.953792</v>
      </c>
      <c r="J733" s="21">
        <v>211.56780000000001</v>
      </c>
      <c r="O733" s="21" t="str">
        <f t="shared" si="14"/>
        <v/>
      </c>
      <c r="R733" s="26" t="s">
        <v>1023</v>
      </c>
      <c r="S733" s="21">
        <v>32.618569999999998</v>
      </c>
    </row>
    <row r="734" spans="1:19" x14ac:dyDescent="0.25">
      <c r="A734" s="21">
        <v>733</v>
      </c>
      <c r="B734" s="26" t="s">
        <v>55</v>
      </c>
      <c r="C734" s="26" t="s">
        <v>137</v>
      </c>
      <c r="D734" s="26" t="s">
        <v>989</v>
      </c>
      <c r="E734" s="21">
        <v>2756</v>
      </c>
      <c r="F734" s="21">
        <v>1423</v>
      </c>
      <c r="G734" s="21">
        <v>1333</v>
      </c>
      <c r="H734" s="21">
        <v>37.106549999999999</v>
      </c>
      <c r="I734" s="21">
        <v>-4.9621729999999999</v>
      </c>
      <c r="J734" s="21">
        <v>403.10300000000001</v>
      </c>
      <c r="O734" s="21" t="str">
        <f t="shared" si="14"/>
        <v/>
      </c>
      <c r="R734" s="26" t="s">
        <v>406</v>
      </c>
      <c r="S734" s="21">
        <v>167.8091</v>
      </c>
    </row>
    <row r="735" spans="1:19" x14ac:dyDescent="0.25">
      <c r="A735" s="21">
        <v>734</v>
      </c>
      <c r="B735" s="26" t="s">
        <v>55</v>
      </c>
      <c r="C735" s="26" t="s">
        <v>139</v>
      </c>
      <c r="D735" s="26" t="s">
        <v>990</v>
      </c>
      <c r="E735" s="21">
        <v>3467</v>
      </c>
      <c r="F735" s="21">
        <v>1779</v>
      </c>
      <c r="G735" s="21">
        <v>1688</v>
      </c>
      <c r="H735" s="21">
        <v>37.15531</v>
      </c>
      <c r="I735" s="21">
        <v>-5.7195289999999996</v>
      </c>
      <c r="J735" s="21">
        <v>78.48339</v>
      </c>
      <c r="O735" s="21" t="str">
        <f t="shared" si="14"/>
        <v/>
      </c>
      <c r="R735" s="26" t="s">
        <v>643</v>
      </c>
      <c r="S735" s="21">
        <v>762.75779999999997</v>
      </c>
    </row>
    <row r="736" spans="1:19" x14ac:dyDescent="0.25">
      <c r="A736" s="21">
        <v>735</v>
      </c>
      <c r="B736" s="26" t="s">
        <v>55</v>
      </c>
      <c r="C736" s="26" t="s">
        <v>140</v>
      </c>
      <c r="D736" s="26" t="s">
        <v>991</v>
      </c>
      <c r="E736" s="21">
        <v>7088</v>
      </c>
      <c r="F736" s="21">
        <v>3549</v>
      </c>
      <c r="G736" s="21">
        <v>3539</v>
      </c>
      <c r="H736" s="21">
        <v>36.995640000000002</v>
      </c>
      <c r="I736" s="21">
        <v>-5.5708820000000001</v>
      </c>
      <c r="J736" s="21">
        <v>270.64179999999999</v>
      </c>
      <c r="O736" s="21" t="str">
        <f t="shared" si="14"/>
        <v/>
      </c>
      <c r="R736" s="26" t="s">
        <v>918</v>
      </c>
      <c r="S736" s="21">
        <v>542.54740000000004</v>
      </c>
    </row>
    <row r="737" spans="1:19" x14ac:dyDescent="0.25">
      <c r="A737" s="21">
        <v>736</v>
      </c>
      <c r="B737" s="26" t="s">
        <v>55</v>
      </c>
      <c r="C737" s="26" t="s">
        <v>141</v>
      </c>
      <c r="D737" s="26" t="s">
        <v>992</v>
      </c>
      <c r="E737" s="21">
        <v>28223</v>
      </c>
      <c r="F737" s="21">
        <v>13945</v>
      </c>
      <c r="G737" s="21">
        <v>14278</v>
      </c>
      <c r="H737" s="21">
        <v>37.122300000000003</v>
      </c>
      <c r="I737" s="21">
        <v>-5.4518690000000003</v>
      </c>
      <c r="J737" s="21">
        <v>231.42670000000001</v>
      </c>
      <c r="O737" s="21" t="str">
        <f t="shared" si="14"/>
        <v/>
      </c>
      <c r="R737" s="26" t="s">
        <v>475</v>
      </c>
      <c r="S737" s="21">
        <v>728.58789999999999</v>
      </c>
    </row>
    <row r="738" spans="1:19" x14ac:dyDescent="0.25">
      <c r="A738" s="21">
        <v>737</v>
      </c>
      <c r="B738" s="26" t="s">
        <v>55</v>
      </c>
      <c r="C738" s="26" t="s">
        <v>142</v>
      </c>
      <c r="D738" s="26" t="s">
        <v>993</v>
      </c>
      <c r="E738" s="21">
        <v>1639</v>
      </c>
      <c r="F738" s="21">
        <v>805</v>
      </c>
      <c r="G738" s="21">
        <v>834</v>
      </c>
      <c r="H738" s="21">
        <v>37.93347</v>
      </c>
      <c r="I738" s="21">
        <v>-5.4648079999999997</v>
      </c>
      <c r="J738" s="21">
        <v>433.02679999999998</v>
      </c>
      <c r="O738" s="21" t="str">
        <f t="shared" si="14"/>
        <v/>
      </c>
      <c r="R738" s="26" t="s">
        <v>919</v>
      </c>
      <c r="S738" s="21">
        <v>534</v>
      </c>
    </row>
    <row r="739" spans="1:19" x14ac:dyDescent="0.25">
      <c r="A739" s="21">
        <v>738</v>
      </c>
      <c r="B739" s="26" t="s">
        <v>55</v>
      </c>
      <c r="C739" s="26" t="s">
        <v>143</v>
      </c>
      <c r="D739" s="26" t="s">
        <v>994</v>
      </c>
      <c r="E739" s="21">
        <v>9522</v>
      </c>
      <c r="F739" s="21">
        <v>4795</v>
      </c>
      <c r="G739" s="21">
        <v>4727</v>
      </c>
      <c r="H739" s="21">
        <v>37.418680000000002</v>
      </c>
      <c r="I739" s="21">
        <v>-6.155926</v>
      </c>
      <c r="J739" s="21">
        <v>173.88050000000001</v>
      </c>
      <c r="O739" s="21" t="str">
        <f t="shared" si="14"/>
        <v/>
      </c>
      <c r="R739" s="26" t="s">
        <v>819</v>
      </c>
      <c r="S739" s="21">
        <v>220.48840000000001</v>
      </c>
    </row>
    <row r="740" spans="1:19" x14ac:dyDescent="0.25">
      <c r="A740" s="21">
        <v>739</v>
      </c>
      <c r="B740" s="26" t="s">
        <v>55</v>
      </c>
      <c r="C740" s="26" t="s">
        <v>144</v>
      </c>
      <c r="D740" s="26" t="s">
        <v>995</v>
      </c>
      <c r="E740" s="21">
        <v>17801</v>
      </c>
      <c r="F740" s="21">
        <v>8809</v>
      </c>
      <c r="G740" s="21">
        <v>8992</v>
      </c>
      <c r="H740" s="21">
        <v>37.236969999999999</v>
      </c>
      <c r="I740" s="21">
        <v>-5.1027480000000001</v>
      </c>
      <c r="J740" s="21">
        <v>291.49220000000003</v>
      </c>
      <c r="O740" s="21" t="str">
        <f t="shared" si="14"/>
        <v/>
      </c>
      <c r="R740" s="26" t="s">
        <v>724</v>
      </c>
      <c r="S740" s="21">
        <v>119.6258</v>
      </c>
    </row>
    <row r="741" spans="1:19" x14ac:dyDescent="0.25">
      <c r="A741" s="21">
        <v>740</v>
      </c>
      <c r="B741" s="26" t="s">
        <v>55</v>
      </c>
      <c r="C741" s="26" t="s">
        <v>145</v>
      </c>
      <c r="D741" s="26" t="s">
        <v>996</v>
      </c>
      <c r="E741" s="21">
        <v>38157</v>
      </c>
      <c r="F741" s="21">
        <v>19212</v>
      </c>
      <c r="G741" s="21">
        <v>18945</v>
      </c>
      <c r="H741" s="21">
        <v>37.158589999999997</v>
      </c>
      <c r="I741" s="21">
        <v>-5.9241659999999996</v>
      </c>
      <c r="J741" s="21">
        <v>8.8476879999999998</v>
      </c>
      <c r="O741" s="21" t="str">
        <f t="shared" si="14"/>
        <v/>
      </c>
      <c r="R741" s="26" t="s">
        <v>644</v>
      </c>
      <c r="S741" s="21">
        <v>645.93920000000003</v>
      </c>
    </row>
    <row r="742" spans="1:19" x14ac:dyDescent="0.25">
      <c r="A742" s="21">
        <v>741</v>
      </c>
      <c r="B742" s="26" t="s">
        <v>55</v>
      </c>
      <c r="C742" s="26" t="s">
        <v>146</v>
      </c>
      <c r="D742" s="26" t="s">
        <v>997</v>
      </c>
      <c r="E742" s="21">
        <v>8211</v>
      </c>
      <c r="F742" s="21">
        <v>4118</v>
      </c>
      <c r="G742" s="21">
        <v>4093</v>
      </c>
      <c r="H742" s="21">
        <v>37.322560000000003</v>
      </c>
      <c r="I742" s="21">
        <v>-6.0577160000000001</v>
      </c>
      <c r="J742" s="21">
        <v>38.783850000000001</v>
      </c>
      <c r="O742" s="21" t="str">
        <f t="shared" si="14"/>
        <v/>
      </c>
      <c r="R742" s="26" t="s">
        <v>725</v>
      </c>
      <c r="S742" s="21">
        <v>225</v>
      </c>
    </row>
    <row r="743" spans="1:19" x14ac:dyDescent="0.25">
      <c r="A743" s="21">
        <v>742</v>
      </c>
      <c r="B743" s="26" t="s">
        <v>55</v>
      </c>
      <c r="C743" s="26" t="s">
        <v>147</v>
      </c>
      <c r="D743" s="26" t="s">
        <v>998</v>
      </c>
      <c r="E743" s="21">
        <v>7024</v>
      </c>
      <c r="F743" s="21">
        <v>3509</v>
      </c>
      <c r="G743" s="21">
        <v>3515</v>
      </c>
      <c r="H743" s="21">
        <v>37.289810000000003</v>
      </c>
      <c r="I743" s="21">
        <v>-5.4972190000000003</v>
      </c>
      <c r="J743" s="21">
        <v>124.33410000000001</v>
      </c>
      <c r="O743" s="21" t="str">
        <f t="shared" si="14"/>
        <v/>
      </c>
      <c r="R743" s="26" t="s">
        <v>1024</v>
      </c>
      <c r="S743" s="21">
        <v>467.64870000000002</v>
      </c>
    </row>
    <row r="744" spans="1:19" x14ac:dyDescent="0.25">
      <c r="A744" s="21">
        <v>743</v>
      </c>
      <c r="B744" s="26" t="s">
        <v>55</v>
      </c>
      <c r="C744" s="26" t="s">
        <v>148</v>
      </c>
      <c r="D744" s="26" t="s">
        <v>999</v>
      </c>
      <c r="E744" s="21">
        <v>5328</v>
      </c>
      <c r="F744" s="21">
        <v>2632</v>
      </c>
      <c r="G744" s="21">
        <v>2696</v>
      </c>
      <c r="H744" s="21">
        <v>37.223010000000002</v>
      </c>
      <c r="I744" s="21">
        <v>-4.8967539999999996</v>
      </c>
      <c r="J744" s="21">
        <v>456.64769999999999</v>
      </c>
      <c r="O744" s="21" t="str">
        <f t="shared" si="14"/>
        <v/>
      </c>
      <c r="R744" s="26" t="s">
        <v>920</v>
      </c>
      <c r="S744" s="21">
        <v>659.88099999999997</v>
      </c>
    </row>
    <row r="745" spans="1:19" x14ac:dyDescent="0.25">
      <c r="A745" s="21">
        <v>744</v>
      </c>
      <c r="B745" s="26" t="s">
        <v>55</v>
      </c>
      <c r="C745" s="26" t="s">
        <v>149</v>
      </c>
      <c r="D745" s="26" t="s">
        <v>1000</v>
      </c>
      <c r="E745" s="21">
        <v>2124</v>
      </c>
      <c r="F745" s="21">
        <v>1058</v>
      </c>
      <c r="G745" s="21">
        <v>1066</v>
      </c>
      <c r="H745" s="21">
        <v>37.842219999999998</v>
      </c>
      <c r="I745" s="21">
        <v>-5.7635149999999999</v>
      </c>
      <c r="J745" s="21">
        <v>413.61989999999997</v>
      </c>
      <c r="O745" s="21" t="str">
        <f t="shared" si="14"/>
        <v/>
      </c>
      <c r="R745" s="26" t="s">
        <v>1025</v>
      </c>
      <c r="S745" s="21">
        <v>152.3999</v>
      </c>
    </row>
    <row r="746" spans="1:19" x14ac:dyDescent="0.25">
      <c r="A746" s="21">
        <v>745</v>
      </c>
      <c r="B746" s="26" t="s">
        <v>55</v>
      </c>
      <c r="C746" s="26" t="s">
        <v>150</v>
      </c>
      <c r="D746" s="26" t="s">
        <v>1001</v>
      </c>
      <c r="E746" s="21">
        <v>3721</v>
      </c>
      <c r="F746" s="21">
        <v>1880</v>
      </c>
      <c r="G746" s="21">
        <v>1841</v>
      </c>
      <c r="H746" s="21">
        <v>37.707259999999998</v>
      </c>
      <c r="I746" s="21">
        <v>-5.3464119999999999</v>
      </c>
      <c r="J746" s="21">
        <v>56.938000000000002</v>
      </c>
      <c r="O746" s="21" t="str">
        <f t="shared" si="14"/>
        <v/>
      </c>
      <c r="R746" s="26" t="s">
        <v>820</v>
      </c>
      <c r="S746" s="21">
        <v>673.12829999999997</v>
      </c>
    </row>
    <row r="747" spans="1:19" x14ac:dyDescent="0.25">
      <c r="A747" s="21">
        <v>746</v>
      </c>
      <c r="B747" s="26" t="s">
        <v>55</v>
      </c>
      <c r="C747" s="26" t="s">
        <v>151</v>
      </c>
      <c r="D747" s="26" t="s">
        <v>1002</v>
      </c>
      <c r="E747" s="21">
        <v>13987</v>
      </c>
      <c r="F747" s="21">
        <v>7069</v>
      </c>
      <c r="G747" s="21">
        <v>6918</v>
      </c>
      <c r="H747" s="21">
        <v>37.301670000000001</v>
      </c>
      <c r="I747" s="21">
        <v>-6.3024490000000002</v>
      </c>
      <c r="J747" s="21">
        <v>69.789749999999998</v>
      </c>
      <c r="O747" s="21" t="str">
        <f t="shared" si="14"/>
        <v/>
      </c>
      <c r="R747" s="26" t="s">
        <v>476</v>
      </c>
      <c r="S747" s="21">
        <v>583.84519999999998</v>
      </c>
    </row>
    <row r="748" spans="1:19" x14ac:dyDescent="0.25">
      <c r="A748" s="21">
        <v>747</v>
      </c>
      <c r="B748" s="26" t="s">
        <v>55</v>
      </c>
      <c r="C748" s="26" t="s">
        <v>152</v>
      </c>
      <c r="D748" s="26" t="s">
        <v>1003</v>
      </c>
      <c r="E748" s="21">
        <v>2696</v>
      </c>
      <c r="F748" s="21">
        <v>1386</v>
      </c>
      <c r="G748" s="21">
        <v>1310</v>
      </c>
      <c r="H748" s="21">
        <v>36.973640000000003</v>
      </c>
      <c r="I748" s="21">
        <v>-5.2229429999999999</v>
      </c>
      <c r="J748" s="21">
        <v>546.83600000000001</v>
      </c>
      <c r="O748" s="21" t="str">
        <f t="shared" si="14"/>
        <v/>
      </c>
      <c r="R748" s="26" t="s">
        <v>477</v>
      </c>
      <c r="S748" s="21">
        <v>556.63139999999999</v>
      </c>
    </row>
    <row r="749" spans="1:19" x14ac:dyDescent="0.25">
      <c r="A749" s="21">
        <v>748</v>
      </c>
      <c r="B749" s="26" t="s">
        <v>55</v>
      </c>
      <c r="C749" s="26" t="s">
        <v>153</v>
      </c>
      <c r="D749" s="26" t="s">
        <v>1004</v>
      </c>
      <c r="E749" s="21">
        <v>11241</v>
      </c>
      <c r="F749" s="21">
        <v>5599</v>
      </c>
      <c r="G749" s="21">
        <v>5642</v>
      </c>
      <c r="H749" s="21">
        <v>37.224409999999999</v>
      </c>
      <c r="I749" s="21">
        <v>-5.3122699999999998</v>
      </c>
      <c r="J749" s="21">
        <v>173.46979999999999</v>
      </c>
      <c r="O749" s="21" t="str">
        <f t="shared" ref="O749:O774" si="15">IFERROR(VLOOKUP($O$1,B749:D1521,3,FALSE),"")</f>
        <v/>
      </c>
      <c r="R749" s="26" t="s">
        <v>1026</v>
      </c>
      <c r="S749" s="21">
        <v>55.404020000000003</v>
      </c>
    </row>
    <row r="750" spans="1:19" x14ac:dyDescent="0.25">
      <c r="A750" s="21">
        <v>749</v>
      </c>
      <c r="B750" s="26" t="s">
        <v>55</v>
      </c>
      <c r="C750" s="26" t="s">
        <v>154</v>
      </c>
      <c r="D750" s="26" t="s">
        <v>1005</v>
      </c>
      <c r="E750" s="21">
        <v>3100</v>
      </c>
      <c r="F750" s="21">
        <v>1537</v>
      </c>
      <c r="G750" s="21">
        <v>1563</v>
      </c>
      <c r="H750" s="21">
        <v>37.77852</v>
      </c>
      <c r="I750" s="21">
        <v>-5.3889950000000004</v>
      </c>
      <c r="J750" s="21">
        <v>235.63290000000001</v>
      </c>
      <c r="O750" s="21" t="str">
        <f t="shared" si="15"/>
        <v/>
      </c>
      <c r="R750" s="26" t="s">
        <v>921</v>
      </c>
      <c r="S750" s="21">
        <v>694.95119999999997</v>
      </c>
    </row>
    <row r="751" spans="1:19" x14ac:dyDescent="0.25">
      <c r="A751" s="21">
        <v>750</v>
      </c>
      <c r="B751" s="26" t="s">
        <v>55</v>
      </c>
      <c r="C751" s="26" t="s">
        <v>155</v>
      </c>
      <c r="D751" s="26" t="s">
        <v>1006</v>
      </c>
      <c r="E751" s="21">
        <v>12114</v>
      </c>
      <c r="F751" s="21">
        <v>6007</v>
      </c>
      <c r="G751" s="21">
        <v>6107</v>
      </c>
      <c r="H751" s="21">
        <v>37.267479999999999</v>
      </c>
      <c r="I751" s="21">
        <v>-6.062557</v>
      </c>
      <c r="J751" s="21">
        <v>21.866050000000001</v>
      </c>
      <c r="O751" s="21" t="str">
        <f t="shared" si="15"/>
        <v/>
      </c>
      <c r="R751" s="26" t="s">
        <v>922</v>
      </c>
      <c r="S751" s="21">
        <v>685.79349999999999</v>
      </c>
    </row>
    <row r="752" spans="1:19" x14ac:dyDescent="0.25">
      <c r="A752" s="21">
        <v>751</v>
      </c>
      <c r="B752" s="26" t="s">
        <v>55</v>
      </c>
      <c r="C752" s="26" t="s">
        <v>156</v>
      </c>
      <c r="D752" s="26" t="s">
        <v>1007</v>
      </c>
      <c r="E752" s="21">
        <v>1581</v>
      </c>
      <c r="F752" s="21">
        <v>768</v>
      </c>
      <c r="G752" s="21">
        <v>813</v>
      </c>
      <c r="H752" s="21">
        <v>37.950609999999998</v>
      </c>
      <c r="I752" s="21">
        <v>-6.1558999999999999</v>
      </c>
      <c r="J752" s="21">
        <v>462.95569999999998</v>
      </c>
      <c r="O752" s="21" t="str">
        <f t="shared" si="15"/>
        <v/>
      </c>
      <c r="R752" s="26" t="s">
        <v>645</v>
      </c>
      <c r="S752" s="21">
        <v>493.50790000000001</v>
      </c>
    </row>
    <row r="753" spans="1:19" x14ac:dyDescent="0.25">
      <c r="A753" s="21">
        <v>752</v>
      </c>
      <c r="B753" s="26" t="s">
        <v>55</v>
      </c>
      <c r="C753" s="26" t="s">
        <v>157</v>
      </c>
      <c r="D753" s="26" t="s">
        <v>1008</v>
      </c>
      <c r="E753" s="21">
        <v>38180</v>
      </c>
      <c r="F753" s="21">
        <v>18980</v>
      </c>
      <c r="G753" s="21">
        <v>19200</v>
      </c>
      <c r="H753" s="21">
        <v>37.4878</v>
      </c>
      <c r="I753" s="21">
        <v>-5.9793089999999998</v>
      </c>
      <c r="J753" s="21">
        <v>11.999879999999999</v>
      </c>
      <c r="O753" s="21" t="str">
        <f t="shared" si="15"/>
        <v/>
      </c>
      <c r="R753" s="26" t="s">
        <v>478</v>
      </c>
      <c r="S753" s="21">
        <v>586.78030000000001</v>
      </c>
    </row>
    <row r="754" spans="1:19" x14ac:dyDescent="0.25">
      <c r="A754" s="21">
        <v>753</v>
      </c>
      <c r="B754" s="26" t="s">
        <v>55</v>
      </c>
      <c r="C754" s="26" t="s">
        <v>158</v>
      </c>
      <c r="D754" s="26" t="s">
        <v>1009</v>
      </c>
      <c r="E754" s="21">
        <v>4282</v>
      </c>
      <c r="F754" s="21">
        <v>2125</v>
      </c>
      <c r="G754" s="21">
        <v>2157</v>
      </c>
      <c r="H754" s="21">
        <v>37.200989999999997</v>
      </c>
      <c r="I754" s="21">
        <v>-4.7792760000000003</v>
      </c>
      <c r="J754" s="21">
        <v>403.13150000000002</v>
      </c>
      <c r="O754" s="21" t="str">
        <f t="shared" si="15"/>
        <v/>
      </c>
      <c r="R754" s="26" t="s">
        <v>821</v>
      </c>
      <c r="S754" s="21">
        <v>443.14929999999998</v>
      </c>
    </row>
    <row r="755" spans="1:19" x14ac:dyDescent="0.25">
      <c r="A755" s="21">
        <v>754</v>
      </c>
      <c r="B755" s="26" t="s">
        <v>55</v>
      </c>
      <c r="C755" s="26" t="s">
        <v>159</v>
      </c>
      <c r="D755" s="26" t="s">
        <v>1010</v>
      </c>
      <c r="E755" s="21">
        <v>1398</v>
      </c>
      <c r="F755" s="21">
        <v>727</v>
      </c>
      <c r="G755" s="21">
        <v>671</v>
      </c>
      <c r="H755" s="21">
        <v>37.725549999999998</v>
      </c>
      <c r="I755" s="21">
        <v>-6.1769629999999998</v>
      </c>
      <c r="J755" s="21">
        <v>337.517</v>
      </c>
      <c r="O755" s="21" t="str">
        <f t="shared" si="15"/>
        <v/>
      </c>
      <c r="R755" s="26" t="s">
        <v>822</v>
      </c>
      <c r="S755" s="21">
        <v>636.12950000000001</v>
      </c>
    </row>
    <row r="756" spans="1:19" x14ac:dyDescent="0.25">
      <c r="A756" s="21">
        <v>755</v>
      </c>
      <c r="B756" s="26" t="s">
        <v>55</v>
      </c>
      <c r="C756" s="26" t="s">
        <v>160</v>
      </c>
      <c r="D756" s="26" t="s">
        <v>1011</v>
      </c>
      <c r="E756" s="21">
        <v>3524</v>
      </c>
      <c r="F756" s="21">
        <v>1729</v>
      </c>
      <c r="G756" s="21">
        <v>1795</v>
      </c>
      <c r="H756" s="21">
        <v>37.355699999999999</v>
      </c>
      <c r="I756" s="21">
        <v>-4.9889250000000001</v>
      </c>
      <c r="J756" s="21">
        <v>207.1797</v>
      </c>
      <c r="O756" s="21" t="str">
        <f t="shared" si="15"/>
        <v/>
      </c>
      <c r="R756" s="26" t="s">
        <v>726</v>
      </c>
      <c r="S756" s="21">
        <v>66.984089999999995</v>
      </c>
    </row>
    <row r="757" spans="1:19" x14ac:dyDescent="0.25">
      <c r="A757" s="21">
        <v>756</v>
      </c>
      <c r="B757" s="26" t="s">
        <v>55</v>
      </c>
      <c r="C757" s="26" t="s">
        <v>161</v>
      </c>
      <c r="D757" s="26" t="s">
        <v>1012</v>
      </c>
      <c r="E757" s="21">
        <v>5492</v>
      </c>
      <c r="F757" s="21">
        <v>2667</v>
      </c>
      <c r="G757" s="21">
        <v>2825</v>
      </c>
      <c r="H757" s="21">
        <v>37.418239999999997</v>
      </c>
      <c r="I757" s="21">
        <v>-6.1116330000000003</v>
      </c>
      <c r="J757" s="21">
        <v>153.26169999999999</v>
      </c>
      <c r="O757" s="21" t="str">
        <f t="shared" si="15"/>
        <v/>
      </c>
      <c r="R757" s="26" t="s">
        <v>823</v>
      </c>
      <c r="S757" s="21">
        <v>870.65200000000004</v>
      </c>
    </row>
    <row r="758" spans="1:19" x14ac:dyDescent="0.25">
      <c r="A758" s="21">
        <v>757</v>
      </c>
      <c r="B758" s="26" t="s">
        <v>55</v>
      </c>
      <c r="C758" s="26" t="s">
        <v>162</v>
      </c>
      <c r="D758" s="26" t="s">
        <v>1013</v>
      </c>
      <c r="E758" s="21">
        <v>21390</v>
      </c>
      <c r="F758" s="21">
        <v>10361</v>
      </c>
      <c r="G758" s="21">
        <v>11029</v>
      </c>
      <c r="H758" s="21">
        <v>37.358379999999997</v>
      </c>
      <c r="I758" s="21">
        <v>-6.0354510000000001</v>
      </c>
      <c r="J758" s="21">
        <v>52.554070000000003</v>
      </c>
      <c r="O758" s="21" t="str">
        <f t="shared" si="15"/>
        <v/>
      </c>
      <c r="R758" s="26" t="s">
        <v>824</v>
      </c>
      <c r="S758" s="21">
        <v>302.40429999999998</v>
      </c>
    </row>
    <row r="759" spans="1:19" x14ac:dyDescent="0.25">
      <c r="A759" s="21">
        <v>758</v>
      </c>
      <c r="B759" s="26" t="s">
        <v>55</v>
      </c>
      <c r="C759" s="26" t="s">
        <v>163</v>
      </c>
      <c r="D759" s="26" t="s">
        <v>1014</v>
      </c>
      <c r="E759" s="21">
        <v>599</v>
      </c>
      <c r="F759" s="21">
        <v>303</v>
      </c>
      <c r="G759" s="21">
        <v>296</v>
      </c>
      <c r="H759" s="21">
        <v>37.99353</v>
      </c>
      <c r="I759" s="21">
        <v>-5.6530360000000002</v>
      </c>
      <c r="J759" s="21">
        <v>588.40530000000001</v>
      </c>
      <c r="O759" s="21" t="str">
        <f t="shared" si="15"/>
        <v/>
      </c>
      <c r="R759" s="26" t="s">
        <v>1027</v>
      </c>
      <c r="S759" s="21">
        <v>19.565439999999999</v>
      </c>
    </row>
    <row r="760" spans="1:19" x14ac:dyDescent="0.25">
      <c r="A760" s="21">
        <v>759</v>
      </c>
      <c r="B760" s="26" t="s">
        <v>55</v>
      </c>
      <c r="C760" s="26" t="s">
        <v>290</v>
      </c>
      <c r="D760" s="26" t="s">
        <v>1015</v>
      </c>
      <c r="E760" s="21">
        <v>13451</v>
      </c>
      <c r="F760" s="21">
        <v>6648</v>
      </c>
      <c r="G760" s="21">
        <v>6803</v>
      </c>
      <c r="H760" s="21">
        <v>37.385779999999997</v>
      </c>
      <c r="I760" s="21">
        <v>-6.2019770000000003</v>
      </c>
      <c r="J760" s="21">
        <v>135.89510000000001</v>
      </c>
      <c r="O760" s="21" t="str">
        <f t="shared" si="15"/>
        <v/>
      </c>
      <c r="R760" s="26" t="s">
        <v>479</v>
      </c>
      <c r="S760" s="21">
        <v>699.25130000000001</v>
      </c>
    </row>
    <row r="761" spans="1:19" x14ac:dyDescent="0.25">
      <c r="A761" s="21">
        <v>760</v>
      </c>
      <c r="B761" s="26" t="s">
        <v>55</v>
      </c>
      <c r="C761" s="26" t="s">
        <v>164</v>
      </c>
      <c r="D761" s="26" t="s">
        <v>1016</v>
      </c>
      <c r="E761" s="21">
        <v>8453</v>
      </c>
      <c r="F761" s="21">
        <v>4220</v>
      </c>
      <c r="G761" s="21">
        <v>4233</v>
      </c>
      <c r="H761" s="21">
        <v>37.438690000000001</v>
      </c>
      <c r="I761" s="21">
        <v>-6.0384140000000004</v>
      </c>
      <c r="J761" s="21">
        <v>16.952120000000001</v>
      </c>
      <c r="O761" s="21" t="str">
        <f t="shared" si="15"/>
        <v/>
      </c>
      <c r="R761" s="26" t="s">
        <v>923</v>
      </c>
      <c r="S761" s="21">
        <v>166.8159</v>
      </c>
    </row>
    <row r="762" spans="1:19" x14ac:dyDescent="0.25">
      <c r="A762" s="21">
        <v>761</v>
      </c>
      <c r="B762" s="26" t="s">
        <v>55</v>
      </c>
      <c r="C762" s="26" t="s">
        <v>168</v>
      </c>
      <c r="D762" s="26" t="s">
        <v>1017</v>
      </c>
      <c r="E762" s="21">
        <v>4399</v>
      </c>
      <c r="F762" s="21">
        <v>2172</v>
      </c>
      <c r="G762" s="21">
        <v>2227</v>
      </c>
      <c r="H762" s="21">
        <v>37.070050000000002</v>
      </c>
      <c r="I762" s="21">
        <v>-5.0961869999999996</v>
      </c>
      <c r="J762" s="21">
        <v>533.44669999999996</v>
      </c>
      <c r="O762" s="21" t="str">
        <f t="shared" si="15"/>
        <v/>
      </c>
      <c r="R762" s="26" t="s">
        <v>1028</v>
      </c>
      <c r="S762" s="21">
        <v>145.28440000000001</v>
      </c>
    </row>
    <row r="763" spans="1:19" x14ac:dyDescent="0.25">
      <c r="A763" s="21">
        <v>762</v>
      </c>
      <c r="B763" s="26" t="s">
        <v>55</v>
      </c>
      <c r="C763" s="26" t="s">
        <v>166</v>
      </c>
      <c r="D763" s="26" t="s">
        <v>55</v>
      </c>
      <c r="E763" s="21">
        <v>693878</v>
      </c>
      <c r="F763" s="21">
        <v>329591</v>
      </c>
      <c r="G763" s="21">
        <v>364287</v>
      </c>
      <c r="H763" s="21">
        <v>37.382640000000002</v>
      </c>
      <c r="I763" s="21">
        <v>-5.9962949999999999</v>
      </c>
      <c r="J763" s="21">
        <v>8.2655729999999998</v>
      </c>
      <c r="O763" s="21" t="str">
        <f t="shared" si="15"/>
        <v/>
      </c>
      <c r="R763" s="26" t="s">
        <v>480</v>
      </c>
      <c r="S763" s="21">
        <v>578.68129999999996</v>
      </c>
    </row>
    <row r="764" spans="1:19" x14ac:dyDescent="0.25">
      <c r="A764" s="21">
        <v>763</v>
      </c>
      <c r="B764" s="26" t="s">
        <v>55</v>
      </c>
      <c r="C764" s="26" t="s">
        <v>167</v>
      </c>
      <c r="D764" s="26" t="s">
        <v>1018</v>
      </c>
      <c r="E764" s="21">
        <v>9728</v>
      </c>
      <c r="F764" s="21">
        <v>4809</v>
      </c>
      <c r="G764" s="21">
        <v>4919</v>
      </c>
      <c r="H764" s="21">
        <v>37.609780000000001</v>
      </c>
      <c r="I764" s="21">
        <v>-5.7330690000000004</v>
      </c>
      <c r="J764" s="21">
        <v>29.869990000000001</v>
      </c>
      <c r="O764" s="21" t="str">
        <f t="shared" si="15"/>
        <v/>
      </c>
      <c r="R764" s="26" t="s">
        <v>646</v>
      </c>
      <c r="S764" s="21">
        <v>1074.3230000000001</v>
      </c>
    </row>
    <row r="765" spans="1:19" x14ac:dyDescent="0.25">
      <c r="A765" s="21">
        <v>764</v>
      </c>
      <c r="B765" s="26" t="s">
        <v>55</v>
      </c>
      <c r="C765" s="26" t="s">
        <v>169</v>
      </c>
      <c r="D765" s="26" t="s">
        <v>1019</v>
      </c>
      <c r="E765" s="21">
        <v>24743</v>
      </c>
      <c r="F765" s="21">
        <v>12235</v>
      </c>
      <c r="G765" s="21">
        <v>12508</v>
      </c>
      <c r="H765" s="21">
        <v>37.374040000000001</v>
      </c>
      <c r="I765" s="21">
        <v>-6.0451980000000001</v>
      </c>
      <c r="J765" s="21">
        <v>69.099969999999999</v>
      </c>
      <c r="O765" s="21" t="str">
        <f t="shared" si="15"/>
        <v/>
      </c>
      <c r="R765" s="26" t="s">
        <v>924</v>
      </c>
      <c r="S765" s="21">
        <v>675.08979999999997</v>
      </c>
    </row>
    <row r="766" spans="1:19" x14ac:dyDescent="0.25">
      <c r="A766" s="21">
        <v>765</v>
      </c>
      <c r="B766" s="26" t="s">
        <v>55</v>
      </c>
      <c r="C766" s="26" t="s">
        <v>170</v>
      </c>
      <c r="D766" s="26" t="s">
        <v>1020</v>
      </c>
      <c r="E766" s="21">
        <v>8606</v>
      </c>
      <c r="F766" s="21">
        <v>4331</v>
      </c>
      <c r="G766" s="21">
        <v>4275</v>
      </c>
      <c r="H766" s="21">
        <v>37.369929999999997</v>
      </c>
      <c r="I766" s="21">
        <v>-6.1577219999999997</v>
      </c>
      <c r="J766" s="21">
        <v>126.0343</v>
      </c>
      <c r="O766" s="21" t="str">
        <f t="shared" si="15"/>
        <v/>
      </c>
      <c r="R766" s="26" t="s">
        <v>647</v>
      </c>
      <c r="S766" s="21">
        <v>896.43730000000005</v>
      </c>
    </row>
    <row r="767" spans="1:19" x14ac:dyDescent="0.25">
      <c r="A767" s="21">
        <v>766</v>
      </c>
      <c r="B767" s="26" t="s">
        <v>55</v>
      </c>
      <c r="C767" s="26" t="s">
        <v>171</v>
      </c>
      <c r="D767" s="26" t="s">
        <v>1021</v>
      </c>
      <c r="E767" s="21">
        <v>52558</v>
      </c>
      <c r="F767" s="21">
        <v>26176</v>
      </c>
      <c r="G767" s="21">
        <v>26382</v>
      </c>
      <c r="H767" s="21">
        <v>37.181420000000003</v>
      </c>
      <c r="I767" s="21">
        <v>-5.7815070000000004</v>
      </c>
      <c r="J767" s="21">
        <v>49.070160000000001</v>
      </c>
      <c r="O767" s="21" t="str">
        <f t="shared" si="15"/>
        <v/>
      </c>
      <c r="R767" s="26" t="s">
        <v>648</v>
      </c>
      <c r="S767" s="21">
        <v>680.06460000000004</v>
      </c>
    </row>
    <row r="768" spans="1:19" x14ac:dyDescent="0.25">
      <c r="A768" s="21">
        <v>767</v>
      </c>
      <c r="B768" s="26" t="s">
        <v>55</v>
      </c>
      <c r="C768" s="26" t="s">
        <v>172</v>
      </c>
      <c r="D768" s="26" t="s">
        <v>1022</v>
      </c>
      <c r="E768" s="21">
        <v>7948</v>
      </c>
      <c r="F768" s="21">
        <v>3944</v>
      </c>
      <c r="G768" s="21">
        <v>4004</v>
      </c>
      <c r="H768" s="21">
        <v>37.41601</v>
      </c>
      <c r="I768" s="21">
        <v>-6.0769590000000004</v>
      </c>
      <c r="J768" s="21">
        <v>150.983</v>
      </c>
      <c r="O768" s="21" t="str">
        <f t="shared" si="15"/>
        <v/>
      </c>
      <c r="R768" s="26" t="s">
        <v>407</v>
      </c>
      <c r="S768" s="21">
        <v>507.40480000000002</v>
      </c>
    </row>
    <row r="769" spans="1:19" x14ac:dyDescent="0.25">
      <c r="A769" s="21">
        <v>768</v>
      </c>
      <c r="B769" s="26" t="s">
        <v>55</v>
      </c>
      <c r="C769" s="26" t="s">
        <v>173</v>
      </c>
      <c r="D769" s="26" t="s">
        <v>1023</v>
      </c>
      <c r="E769" s="21">
        <v>4503</v>
      </c>
      <c r="F769" s="21">
        <v>2214</v>
      </c>
      <c r="G769" s="21">
        <v>2289</v>
      </c>
      <c r="H769" s="21">
        <v>37.246299999999998</v>
      </c>
      <c r="I769" s="21">
        <v>-6.3065329999999999</v>
      </c>
      <c r="J769" s="21">
        <v>32.618569999999998</v>
      </c>
      <c r="O769" s="21" t="str">
        <f t="shared" si="15"/>
        <v/>
      </c>
      <c r="R769" s="26" t="s">
        <v>727</v>
      </c>
      <c r="S769" s="21">
        <v>409.54689999999999</v>
      </c>
    </row>
    <row r="770" spans="1:19" x14ac:dyDescent="0.25">
      <c r="A770" s="21">
        <v>769</v>
      </c>
      <c r="B770" s="26" t="s">
        <v>55</v>
      </c>
      <c r="C770" s="26" t="s">
        <v>176</v>
      </c>
      <c r="D770" s="26" t="s">
        <v>1024</v>
      </c>
      <c r="E770" s="21">
        <v>1232</v>
      </c>
      <c r="F770" s="21">
        <v>589</v>
      </c>
      <c r="G770" s="21">
        <v>643</v>
      </c>
      <c r="H770" s="21">
        <v>37.050359999999998</v>
      </c>
      <c r="I770" s="21">
        <v>-5.1754730000000002</v>
      </c>
      <c r="J770" s="21">
        <v>467.64870000000002</v>
      </c>
      <c r="O770" s="21" t="str">
        <f t="shared" si="15"/>
        <v/>
      </c>
      <c r="R770" s="26" t="s">
        <v>649</v>
      </c>
      <c r="S770" s="21">
        <v>744.77359999999999</v>
      </c>
    </row>
    <row r="771" spans="1:19" x14ac:dyDescent="0.25">
      <c r="A771" s="21">
        <v>770</v>
      </c>
      <c r="B771" s="26" t="s">
        <v>55</v>
      </c>
      <c r="C771" s="26" t="s">
        <v>175</v>
      </c>
      <c r="D771" s="26" t="s">
        <v>1025</v>
      </c>
      <c r="E771" s="21">
        <v>6395</v>
      </c>
      <c r="F771" s="21">
        <v>3133</v>
      </c>
      <c r="G771" s="21">
        <v>3262</v>
      </c>
      <c r="H771" s="21">
        <v>37.395719999999997</v>
      </c>
      <c r="I771" s="21">
        <v>-6.1413130000000002</v>
      </c>
      <c r="J771" s="21">
        <v>152.3999</v>
      </c>
      <c r="O771" s="21" t="str">
        <f t="shared" si="15"/>
        <v/>
      </c>
      <c r="R771" s="26" t="s">
        <v>728</v>
      </c>
      <c r="S771" s="21">
        <v>441.52969999999999</v>
      </c>
    </row>
    <row r="772" spans="1:19" x14ac:dyDescent="0.25">
      <c r="A772" s="21">
        <v>771</v>
      </c>
      <c r="B772" s="26" t="s">
        <v>55</v>
      </c>
      <c r="C772" s="26" t="s">
        <v>174</v>
      </c>
      <c r="D772" s="26" t="s">
        <v>1026</v>
      </c>
      <c r="E772" s="21">
        <v>4944</v>
      </c>
      <c r="F772" s="21">
        <v>2464</v>
      </c>
      <c r="G772" s="21">
        <v>2480</v>
      </c>
      <c r="H772" s="21">
        <v>37.6601</v>
      </c>
      <c r="I772" s="21">
        <v>-5.7143889999999997</v>
      </c>
      <c r="J772" s="21">
        <v>55.404020000000003</v>
      </c>
      <c r="O772" s="21" t="str">
        <f t="shared" si="15"/>
        <v/>
      </c>
      <c r="R772" s="26" t="s">
        <v>481</v>
      </c>
      <c r="S772" s="21">
        <v>652.79480000000001</v>
      </c>
    </row>
    <row r="773" spans="1:19" x14ac:dyDescent="0.25">
      <c r="A773" s="21">
        <v>772</v>
      </c>
      <c r="B773" s="26" t="s">
        <v>55</v>
      </c>
      <c r="C773" s="26" t="s">
        <v>177</v>
      </c>
      <c r="D773" s="26" t="s">
        <v>1027</v>
      </c>
      <c r="E773" s="21">
        <v>7823</v>
      </c>
      <c r="F773" s="21">
        <v>3987</v>
      </c>
      <c r="G773" s="21">
        <v>3836</v>
      </c>
      <c r="H773" s="21">
        <v>37.588050000000003</v>
      </c>
      <c r="I773" s="21">
        <v>-5.8736839999999999</v>
      </c>
      <c r="J773" s="21">
        <v>19.565439999999999</v>
      </c>
      <c r="O773" s="21" t="str">
        <f t="shared" si="15"/>
        <v/>
      </c>
      <c r="R773" s="26" t="s">
        <v>650</v>
      </c>
      <c r="S773" s="21">
        <v>771.52049999999997</v>
      </c>
    </row>
    <row r="774" spans="1:19" x14ac:dyDescent="0.25">
      <c r="A774" s="21">
        <v>773</v>
      </c>
      <c r="B774" s="26" t="s">
        <v>55</v>
      </c>
      <c r="C774" s="26" t="s">
        <v>178</v>
      </c>
      <c r="D774" s="26" t="s">
        <v>1028</v>
      </c>
      <c r="E774" s="21">
        <v>19149</v>
      </c>
      <c r="F774" s="21">
        <v>9605</v>
      </c>
      <c r="G774" s="21">
        <v>9544</v>
      </c>
      <c r="H774" s="21">
        <v>37.388260000000002</v>
      </c>
      <c r="I774" s="21">
        <v>-5.7193569999999996</v>
      </c>
      <c r="J774" s="21">
        <v>145.28440000000001</v>
      </c>
      <c r="O774" s="21" t="str">
        <f t="shared" si="15"/>
        <v/>
      </c>
      <c r="R774" s="26" t="s">
        <v>308</v>
      </c>
      <c r="S774" s="21">
        <v>248.15819999999999</v>
      </c>
    </row>
  </sheetData>
  <autoFilter ref="A1:AC774"/>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Cumplimiento</vt:lpstr>
      <vt:lpstr>Consumo</vt:lpstr>
      <vt:lpstr>ZonaClimatica</vt:lpstr>
      <vt:lpstr>Calif_ZC</vt:lpstr>
      <vt:lpstr>Hipotesis</vt:lpstr>
      <vt:lpstr>Tab_36_37</vt:lpstr>
      <vt:lpstr>CE3</vt:lpstr>
      <vt:lpstr>Municipio</vt:lpstr>
      <vt:lpstr>Aislante</vt:lpstr>
      <vt:lpstr>AislanteReflexivo</vt:lpstr>
      <vt:lpstr>Cumplimiento!Área_de_impresión</vt:lpstr>
      <vt:lpstr>carpinteria</vt:lpstr>
      <vt:lpstr>Categoria</vt:lpstr>
      <vt:lpstr>Epidermis</vt:lpstr>
      <vt:lpstr>Municipio</vt:lpstr>
      <vt:lpstr>Periodo</vt:lpstr>
      <vt:lpstr>Tipo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2019-02-12T08:04:33Z</dcterms:modified>
</cp:coreProperties>
</file>